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28" yWindow="65428" windowWidth="30936" windowHeight="16896" tabRatio="860" activeTab="0"/>
  </bookViews>
  <sheets>
    <sheet name="Rekapitulace nákladů" sheetId="2" r:id="rId1"/>
    <sheet name="SO 01_KL" sheetId="3" r:id="rId2"/>
    <sheet name="SO 01_Výkaz výměr" sheetId="4" r:id="rId3"/>
    <sheet name="SO 01_Příloha - rest. záměr" sheetId="5" r:id="rId4"/>
    <sheet name="SO 02_KL" sheetId="23" r:id="rId5"/>
    <sheet name="SO 02_Výkaz výměr" sheetId="24" r:id="rId6"/>
    <sheet name="SO 02_Specifikace rostlin" sheetId="22" r:id="rId7"/>
    <sheet name="SO 03_KL" sheetId="8" r:id="rId8"/>
    <sheet name="SO 03_Výkaz výměr" sheetId="9" r:id="rId9"/>
    <sheet name="SO 04_KL" sheetId="10" r:id="rId10"/>
    <sheet name="SO 04_Rekapitulace" sheetId="11" r:id="rId11"/>
    <sheet name="SO 04_Výkaz výměr" sheetId="12" r:id="rId12"/>
    <sheet name="SO 05_KL" sheetId="13" r:id="rId13"/>
    <sheet name="SO 05_Výkaz výměr" sheetId="14" r:id="rId14"/>
    <sheet name="SO 06_KL" sheetId="15" r:id="rId15"/>
    <sheet name="SO 06_Výkaz výměr" sheetId="16" r:id="rId16"/>
    <sheet name="SO 07_KL" sheetId="17" r:id="rId17"/>
    <sheet name="SO 07_Výkaz výměr" sheetId="18" r:id="rId18"/>
    <sheet name="SO 08_KL" sheetId="19" r:id="rId19"/>
    <sheet name="SO 09_KL" sheetId="20" r:id="rId20"/>
    <sheet name="SO 09_Výkaz výměr" sheetId="21" r:id="rId21"/>
  </sheets>
  <externalReferences>
    <externalReference r:id="rId24"/>
  </externalReferences>
  <definedNames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cisloobjektu" localSheetId="0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0">'SO 04_Rekapitulace'!$A$1:$I$17</definedName>
    <definedName name="_xlnm.Print_Area" localSheetId="11">'SO 04_Výkaz výměr'!$A$1:$G$211</definedName>
    <definedName name="_xlnm.Print_Area" localSheetId="13">'SO 05_Výkaz výměr'!$A$1:$G$219</definedName>
    <definedName name="_xlnm.Print_Area" localSheetId="15">'SO 06_Výkaz výměr'!$A$1:$F$41</definedName>
    <definedName name="_xlnm.Print_Area" localSheetId="17">'SO 07_Výkaz výměr'!$A$1:$G$16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'SO 05_Výkaz výměr'!$G$6</definedName>
    <definedName name="SloupecCisloPol">'SO 05_Výkaz výměr'!$B$6</definedName>
    <definedName name="SloupecJC">'SO 05_Výkaz výměr'!$F$6</definedName>
    <definedName name="SloupecMJ">'SO 05_Výkaz výměr'!$D$6</definedName>
    <definedName name="SloupecMnozstvi">'SO 05_Výkaz výměr'!$E$6</definedName>
    <definedName name="SloupecNazPol">'SO 05_Výkaz výměr'!$C$6</definedName>
    <definedName name="SloupecPC">'SO 05_Výkaz výměr'!$A$6</definedName>
    <definedName name="solver_lin" localSheetId="13" hidden="1">0</definedName>
    <definedName name="solver_num" localSheetId="13" hidden="1">0</definedName>
    <definedName name="solver_opt" localSheetId="13" hidden="1">#REF!</definedName>
    <definedName name="solver_typ" localSheetId="13" hidden="1">1</definedName>
    <definedName name="solver_val" localSheetId="13" hidden="1">0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WDWD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3">'SO 05_Výkaz výměr'!$1:$6</definedName>
    <definedName name="_xlnm.Print_Titles" localSheetId="15">'SO 06_Výkaz výměr'!$2:$2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Štainbruch Tomáš</author>
  </authors>
  <commentList>
    <comment ref="A48" authorId="0">
      <text>
        <r>
          <rPr>
            <b/>
            <sz val="9"/>
            <rFont val="Tahoma"/>
            <family val="2"/>
          </rPr>
          <t>Štainbruch Tomáš:</t>
        </r>
        <r>
          <rPr>
            <sz val="9"/>
            <rFont val="Tahoma"/>
            <family val="2"/>
          </rPr>
          <t xml:space="preserve">
dospecifikovat ve spolupráci s Machálkovou</t>
        </r>
      </text>
    </comment>
  </commentList>
</comments>
</file>

<file path=xl/sharedStrings.xml><?xml version="1.0" encoding="utf-8"?>
<sst xmlns="http://schemas.openxmlformats.org/spreadsheetml/2006/main" count="8194" uniqueCount="2119">
  <si>
    <t>SO 03 - Závlahový systém</t>
  </si>
  <si>
    <t>CELKEM BEZ DPH 21%</t>
  </si>
  <si>
    <t>SO 04 - Osvětlení</t>
  </si>
  <si>
    <t>SO 05 - Vodní prvky</t>
  </si>
  <si>
    <t>SO 01 - Technické prvky</t>
  </si>
  <si>
    <t>SO 02 - Vegetace</t>
  </si>
  <si>
    <t>Rekapitulace nákladů projektu:</t>
  </si>
  <si>
    <t>CELKEM S DPH 21%</t>
  </si>
  <si>
    <t>DPH 21%</t>
  </si>
  <si>
    <t>Cena díla celkem</t>
  </si>
  <si>
    <t>SO 08 - Doplnění semaforu podkova a brána 5</t>
  </si>
  <si>
    <t>SO 07 - Propagace projektu - dotační titul</t>
  </si>
  <si>
    <t xml:space="preserve">SO 06 - Perimetrická síť </t>
  </si>
  <si>
    <t>Název stavby:</t>
  </si>
  <si>
    <t>Úprava zahrady Strakovy akademie</t>
  </si>
  <si>
    <t>Objednatel:</t>
  </si>
  <si>
    <t>Lokalita:</t>
  </si>
  <si>
    <t>Praha, Malá Strana</t>
  </si>
  <si>
    <t>Datum:</t>
  </si>
  <si>
    <t>Úřad vlády České republiky, Nábřeží E. Beneše 128/4</t>
  </si>
  <si>
    <t>09/2019</t>
  </si>
  <si>
    <t>ZRN BEZ DPH 21%</t>
  </si>
  <si>
    <t>VRN BEZ DPH 21%</t>
  </si>
  <si>
    <t>SO 09 - Žádost o dotaci</t>
  </si>
  <si>
    <t>Krycí list slepého rozpočtu</t>
  </si>
  <si>
    <t>IČ/DIČ:</t>
  </si>
  <si>
    <t>Druh stavby:</t>
  </si>
  <si>
    <t>Projektant:</t>
  </si>
  <si>
    <t>67611591/CZ7303074053</t>
  </si>
  <si>
    <t>Zhotovitel:</t>
  </si>
  <si>
    <t>Začátek výstavby:</t>
  </si>
  <si>
    <t>Konec výstavby:</t>
  </si>
  <si>
    <t>Položek:</t>
  </si>
  <si>
    <t>244</t>
  </si>
  <si>
    <t>JKSO:</t>
  </si>
  <si>
    <t>Zpracoval: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</si>
  <si>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</si>
  <si>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</si>
  <si>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</si>
  <si>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</si>
  <si>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</si>
  <si>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</si>
  <si>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</si>
  <si>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</si>
  <si>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</si>
  <si>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r>
      <t xml:space="preserve">Příprava staveniště </t>
    </r>
    <r>
      <rPr>
        <sz val="11"/>
        <color indexed="8"/>
        <rFont val="Arial"/>
        <family val="2"/>
      </rPr>
      <t>(hist. objekt - max. 2,5 % ze ZRN)</t>
    </r>
  </si>
  <si>
    <r>
      <t>Zařízení staveniště</t>
    </r>
    <r>
      <rPr>
        <sz val="11"/>
        <color indexed="8"/>
        <rFont val="Arial"/>
        <family val="2"/>
      </rPr>
      <t xml:space="preserve">  (parkové úpravy - max. 1,1 % ze ZRN)</t>
    </r>
  </si>
  <si>
    <t>Montáž</t>
  </si>
  <si>
    <t>PSV</t>
  </si>
  <si>
    <t>Dokumentace skutečného provedení stavby</t>
  </si>
  <si>
    <r>
      <t>Provozní vlivy</t>
    </r>
    <r>
      <rPr>
        <sz val="11"/>
        <color indexed="8"/>
        <rFont val="Arial"/>
        <family val="2"/>
      </rPr>
      <t xml:space="preserve"> (ztížený pohyb vozidel v centrech měst; areál se zvláštním režimem přístupu a pohybu osob - max. 1 % ze ZRN)</t>
    </r>
  </si>
  <si>
    <t>"M"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</si>
  <si>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</si>
  <si>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</si>
  <si>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</si>
  <si>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</si>
  <si>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</si>
  <si>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</si>
  <si>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</si>
  <si>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</si>
  <si>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</si>
  <si>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</si>
  <si>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Celkem včetně DPH</t>
  </si>
  <si>
    <t>Projektant</t>
  </si>
  <si>
    <t>Objednatel</t>
  </si>
  <si>
    <t>Zhotovitel</t>
  </si>
  <si>
    <t>Datum, razítko a podpis</t>
  </si>
  <si>
    <t>Poznámka:</t>
  </si>
  <si>
    <t>Slepý stavební rozpočet</t>
  </si>
  <si>
    <t>Doba výstavby:</t>
  </si>
  <si>
    <t xml:space="preserve"> </t>
  </si>
  <si>
    <t>Úřad vlády České republiky, nábř. E. Beneše 128/4,</t>
  </si>
  <si>
    <t>Ing. Přemysl Krejčiřík, Ph.D.</t>
  </si>
  <si>
    <t> </t>
  </si>
  <si>
    <t>Zpracováno dne:</t>
  </si>
  <si>
    <t>09.09.2019</t>
  </si>
  <si>
    <t>Ing. Martina Zimmermannová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</si>
  <si>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</si>
  <si>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</si>
  <si>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</si>
  <si>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</si>
  <si>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</si>
  <si>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</si>
  <si>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</si>
  <si>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</si>
  <si>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</si>
  <si>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</si>
  <si>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</si>
  <si>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</si>
  <si>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</si>
  <si>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</si>
  <si>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</si>
  <si>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</si>
  <si>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</si>
  <si>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</si>
  <si>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</si>
  <si>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</si>
  <si>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</si>
  <si>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</si>
  <si>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</si>
  <si>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</si>
  <si>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</si>
  <si>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B-Tp2: Odstranění asfaltobetonových povrchů</t>
  </si>
  <si>
    <t>11</t>
  </si>
  <si>
    <t>Přípravné a přidružené práce</t>
  </si>
  <si>
    <t>02</t>
  </si>
  <si>
    <t>1</t>
  </si>
  <si>
    <t>184807111R00</t>
  </si>
  <si>
    <t>Ochrana stromu při stavební činnosti bedněním - zřízení (ochrana kmene stromů, kořenového systému dřevin)</t>
  </si>
  <si>
    <t>m2</t>
  </si>
  <si>
    <t>RTS II / 2019</t>
  </si>
  <si>
    <t>11_</t>
  </si>
  <si>
    <t>02_1_</t>
  </si>
  <si>
    <t>02_</t>
  </si>
  <si>
    <t>2</t>
  </si>
  <si>
    <t>184807112R00</t>
  </si>
  <si>
    <t>Ochrana stromu bedněním - odstranění (ochrana kmene stromů, kořenového systému dřevin)</t>
  </si>
  <si>
    <t>3</t>
  </si>
  <si>
    <t>113108405R00</t>
  </si>
  <si>
    <t>Odstranění asfaltové vrstvy pl.nad 50 m2, tl. 50 mm</t>
  </si>
  <si>
    <t>RTS I / 2019</t>
  </si>
  <si>
    <t>4</t>
  </si>
  <si>
    <t>113109420R00</t>
  </si>
  <si>
    <t>Odstranění podkladu pl.nad 50 m2, železobeton, tl. 200 mm</t>
  </si>
  <si>
    <t>5</t>
  </si>
  <si>
    <t>113107645R00</t>
  </si>
  <si>
    <t>Odstranění podkladu nad 50 m2, štěrkodrť tl. 450 mm</t>
  </si>
  <si>
    <t>S0</t>
  </si>
  <si>
    <t>Přesuny sutí</t>
  </si>
  <si>
    <t>6</t>
  </si>
  <si>
    <t>979083116R00</t>
  </si>
  <si>
    <t>Vodorovné přemístění suti na skládku do 20000 m, vč. naložení na dopr. prostředek do 12 t a složení</t>
  </si>
  <si>
    <t>t</t>
  </si>
  <si>
    <t>S0_</t>
  </si>
  <si>
    <t>02_9_</t>
  </si>
  <si>
    <t>(asfalt: 391 t; železobeton: 1706 t; štěrkodrť: 1599 m3 x 1,8 t/m3 = 2878,7 t)</t>
  </si>
  <si>
    <t>7</t>
  </si>
  <si>
    <t>979999999R00</t>
  </si>
  <si>
    <t>Poplatek za skládku - vytříděný homogenní materiál</t>
  </si>
  <si>
    <t>8</t>
  </si>
  <si>
    <t>979990R</t>
  </si>
  <si>
    <t>Poplatek za skládku - směsný stavební a demoliční odpad (kat. číslo 170904)</t>
  </si>
  <si>
    <t>Výše poplatku za skládku byla přizpůsobena lokálním podmínkám na základě průzkumu trhu.</t>
  </si>
  <si>
    <t>B-Tp3: Odstranění povrchů z bet. zámkové dlažby</t>
  </si>
  <si>
    <t>03</t>
  </si>
  <si>
    <t>9</t>
  </si>
  <si>
    <t>113106231R00</t>
  </si>
  <si>
    <t>Rozebrání dlažeb ze zámkové dlažby v kamenivu</t>
  </si>
  <si>
    <t>03_1_</t>
  </si>
  <si>
    <t>03_</t>
  </si>
  <si>
    <t>10</t>
  </si>
  <si>
    <t>113107636R00</t>
  </si>
  <si>
    <t>Odstranění podkladu nad 50 m2,kam.drcené tl. 360 mm</t>
  </si>
  <si>
    <t>03_9_</t>
  </si>
  <si>
    <t>Plocha vybourané dlažby: 200,6 m2 x hl. 0,36 m = 72,2 m3</t>
  </si>
  <si>
    <t>12</t>
  </si>
  <si>
    <t>B-Tp4: Odstranění  štěrkového povrchu</t>
  </si>
  <si>
    <t>04</t>
  </si>
  <si>
    <t>13</t>
  </si>
  <si>
    <t>113107650R00</t>
  </si>
  <si>
    <t>Odstranění podkladu nad 50 m2, štěrkopísek, tl. 500 mm</t>
  </si>
  <si>
    <t>04_1_</t>
  </si>
  <si>
    <t>04_</t>
  </si>
  <si>
    <t>14</t>
  </si>
  <si>
    <t>113107610R00</t>
  </si>
  <si>
    <t>Odstranění podkladu nad 50 m2,kam.drcené tl.100 mm</t>
  </si>
  <si>
    <t>15</t>
  </si>
  <si>
    <t>04_9_</t>
  </si>
  <si>
    <t>Odstraňovaná plocha štěrku: 70,9 m2 x hl. 0,6 m = 42,5 m3</t>
  </si>
  <si>
    <t>16</t>
  </si>
  <si>
    <t>B-Tp5: Odstranění povrchů s dlažbou ze žul. kostek</t>
  </si>
  <si>
    <t>05</t>
  </si>
  <si>
    <t>17</t>
  </si>
  <si>
    <t>113106511R00</t>
  </si>
  <si>
    <t>Rozebrání dlažeb z vel.kostek, podklad kamenivo</t>
  </si>
  <si>
    <t>05_1_</t>
  </si>
  <si>
    <t>05_</t>
  </si>
  <si>
    <t>18</t>
  </si>
  <si>
    <t>979071112R00</t>
  </si>
  <si>
    <t>Očištění vybouraných kostek</t>
  </si>
  <si>
    <t>19</t>
  </si>
  <si>
    <t>113107630R00</t>
  </si>
  <si>
    <t>Odstranění podkladu nad 50 m2,kam.drcené tl. 300 mm</t>
  </si>
  <si>
    <t>20</t>
  </si>
  <si>
    <t>979083111R00</t>
  </si>
  <si>
    <t>Vodorovné přemístění kam. kost na mezideponii (v rámci staveniště) do 200 m, vč. naložení na dopr. prostředek do 12 t a složení</t>
  </si>
  <si>
    <t>05_9_</t>
  </si>
  <si>
    <t>Odstraňovaná dlažba: 588,3 m2 x hl. 0,5 m = 294,2m3</t>
  </si>
  <si>
    <t>21</t>
  </si>
  <si>
    <t>Podklad dlažby, kam. drcené tl. 0,3 m x 588,3 m2 = 176,5 m3</t>
  </si>
  <si>
    <t>22</t>
  </si>
  <si>
    <t>B-Tp6: Odstranění ploch s povrchem z cihlové drti</t>
  </si>
  <si>
    <t>06</t>
  </si>
  <si>
    <t>23</t>
  </si>
  <si>
    <t>712990813RT3</t>
  </si>
  <si>
    <t>Odstranění vrstvy z cihlové drti tl. 100 mm</t>
  </si>
  <si>
    <t>06_1_</t>
  </si>
  <si>
    <t>06_</t>
  </si>
  <si>
    <t>24</t>
  </si>
  <si>
    <t>Odstranění podkladu nad 50 m2, kam.drcené tl. 300 mm</t>
  </si>
  <si>
    <t>25</t>
  </si>
  <si>
    <t>06_9_</t>
  </si>
  <si>
    <t>Odstraňovaná plocha s cihlovou drtí: 182,4 m2 x hl. 0,4 m = 73 m3</t>
  </si>
  <si>
    <t>26</t>
  </si>
  <si>
    <t>B-Tp7: Odstranění betonového odvodňovacího žlábku</t>
  </si>
  <si>
    <t>07</t>
  </si>
  <si>
    <t>27</t>
  </si>
  <si>
    <t>113231330R00</t>
  </si>
  <si>
    <t>Bourání odvodňovacího žlabu vč. obrubníku a betonového lože, š.300 mm</t>
  </si>
  <si>
    <t>m</t>
  </si>
  <si>
    <t>07_1_</t>
  </si>
  <si>
    <t>07_</t>
  </si>
  <si>
    <t>28</t>
  </si>
  <si>
    <t>113107530R00</t>
  </si>
  <si>
    <t>Odstranění podkladu jednotlivé pl. do 50 m2, kam.drcené tl. 300 mm</t>
  </si>
  <si>
    <t>29</t>
  </si>
  <si>
    <t>07_9_</t>
  </si>
  <si>
    <t>Odstraňovaný betonový žlábek: 143,6 m2 x hl. 0,4 m = 57,4 m3</t>
  </si>
  <si>
    <t>30</t>
  </si>
  <si>
    <t>B-Tp8: Odstranění betonových ploch u budovy</t>
  </si>
  <si>
    <t>08</t>
  </si>
  <si>
    <t>31</t>
  </si>
  <si>
    <t>967052011R00</t>
  </si>
  <si>
    <t>Odstranění betonové vrstvy do tl. 100 mm</t>
  </si>
  <si>
    <t>08_1_</t>
  </si>
  <si>
    <t>08_</t>
  </si>
  <si>
    <t>32</t>
  </si>
  <si>
    <t>113107526R00</t>
  </si>
  <si>
    <t>Odstranění podkladu jednotlivé pl. do 50 m2,kam.drcené tl. 260 mm</t>
  </si>
  <si>
    <t>33</t>
  </si>
  <si>
    <t>08_9_</t>
  </si>
  <si>
    <t>Odstraňovaná betonová plocha: 13,5 m2 x hl. 0,36 m = 4,9 m3</t>
  </si>
  <si>
    <t>34</t>
  </si>
  <si>
    <t>B-Tp9: Odstranění betonových palisád a schodů</t>
  </si>
  <si>
    <t>09</t>
  </si>
  <si>
    <t>35</t>
  </si>
  <si>
    <t>460030120R</t>
  </si>
  <si>
    <t>Bourání betonových palisád</t>
  </si>
  <si>
    <t>09_1_</t>
  </si>
  <si>
    <t>09_</t>
  </si>
  <si>
    <t>36</t>
  </si>
  <si>
    <t>963042819R00</t>
  </si>
  <si>
    <t>Bourání schodišťových stupňů betonových, vč. betonového lože tl. 100 mm</t>
  </si>
  <si>
    <t>37</t>
  </si>
  <si>
    <t>Odstranění podkladu pl. do 50 m2, kam.drcené tl. 300 mm</t>
  </si>
  <si>
    <t>38</t>
  </si>
  <si>
    <t>09_9_</t>
  </si>
  <si>
    <t>(palisády: 0,03 m3, schody: 0,1 m3, betonové lože + podkladní vrstvy: 0,6 m3)</t>
  </si>
  <si>
    <t>39</t>
  </si>
  <si>
    <t>B-Tp10: Odstranění základů 2 soch</t>
  </si>
  <si>
    <t>40</t>
  </si>
  <si>
    <t>961044111R00</t>
  </si>
  <si>
    <t>Bourání základů z betonu prostého hl. 80 cm - 2x</t>
  </si>
  <si>
    <t>m3</t>
  </si>
  <si>
    <t>11_1_</t>
  </si>
  <si>
    <t>41</t>
  </si>
  <si>
    <t>113107540R00</t>
  </si>
  <si>
    <t>Odstranění podkladu pl. do 50 m2, kam.drcené tl. 400 mm - 2x</t>
  </si>
  <si>
    <t>42</t>
  </si>
  <si>
    <t>11_9_</t>
  </si>
  <si>
    <t>(podklad: 0,1 m3; beton: 2,3 m3)</t>
  </si>
  <si>
    <t>43</t>
  </si>
  <si>
    <t>B-Tp11: Odstranění zídek z kamenných haklíků</t>
  </si>
  <si>
    <t>44</t>
  </si>
  <si>
    <t>962100011RA0</t>
  </si>
  <si>
    <t>Bourání nadzákladového zdiva z kamene</t>
  </si>
  <si>
    <t>12_1_</t>
  </si>
  <si>
    <t>12_</t>
  </si>
  <si>
    <t>45</t>
  </si>
  <si>
    <t>114203202R00</t>
  </si>
  <si>
    <t>Očištění lomového kamene od malty</t>
  </si>
  <si>
    <t>46</t>
  </si>
  <si>
    <t>Bourání základů z betonu prostého: 41,8 m2 x hl. 0,8 m</t>
  </si>
  <si>
    <t>47</t>
  </si>
  <si>
    <t>12_9_</t>
  </si>
  <si>
    <t>(kamenné zdivo: 14,6 m3; betonové základy: 33,4 m3)
- kamenné bloky: odvoz na místo určení dle instrukcí investora nebo technického dozoru
- stavební suť: odvoz na skládku</t>
  </si>
  <si>
    <t>48</t>
  </si>
  <si>
    <t>B-Tp12: Odstranění plochy zeminy</t>
  </si>
  <si>
    <t>Přemístění výkopku</t>
  </si>
  <si>
    <t>49</t>
  </si>
  <si>
    <t>122207111R00</t>
  </si>
  <si>
    <t>Odkopávky při pozemkové úpravě nezapaž (12,3 m2 x hl. 0,36 m)</t>
  </si>
  <si>
    <t>RTS II / 2018</t>
  </si>
  <si>
    <t>16_</t>
  </si>
  <si>
    <t>13_1_</t>
  </si>
  <si>
    <t>13_</t>
  </si>
  <si>
    <t>50</t>
  </si>
  <si>
    <t>162201102R00</t>
  </si>
  <si>
    <t>Vodorovné přemístění výkopku z hor.1-4 do 50 m - na mezideponii - zemina bude použita při terénních úpravách; 4,4 m3 x 1,22 koef. nakypření</t>
  </si>
  <si>
    <t>B-Tp13: Odstranění lemů schodišť ze žul. desek</t>
  </si>
  <si>
    <t>51</t>
  </si>
  <si>
    <t>978059221R00</t>
  </si>
  <si>
    <t>Odsekání obkladů stěn z kamene do 2 m2</t>
  </si>
  <si>
    <t>14_1_</t>
  </si>
  <si>
    <t>14_</t>
  </si>
  <si>
    <t>52</t>
  </si>
  <si>
    <t>113109316R00</t>
  </si>
  <si>
    <t>Odstranění podkladu pl.50 m2, bet.prostý tl.16 cm</t>
  </si>
  <si>
    <t>53</t>
  </si>
  <si>
    <t>14_9_</t>
  </si>
  <si>
    <t>(obkladové desky: 0,08 m3; betonový podklad: 0,2 m3)</t>
  </si>
  <si>
    <t>54</t>
  </si>
  <si>
    <t>K-Tp1, 2: Dlažba ze žulových kostek 15/17 (700 mm)</t>
  </si>
  <si>
    <t>55</t>
  </si>
  <si>
    <t>043020RVD</t>
  </si>
  <si>
    <t>Dílenská dokumentace pro zhotovení technických prvků</t>
  </si>
  <si>
    <t>ks</t>
  </si>
  <si>
    <t>15_1_</t>
  </si>
  <si>
    <t>15_</t>
  </si>
  <si>
    <t>56</t>
  </si>
  <si>
    <t>111_100VD</t>
  </si>
  <si>
    <t>Vytýčení technických prvků - zpevněné plochy</t>
  </si>
  <si>
    <t>soubor</t>
  </si>
  <si>
    <t>Platí pro K-Tp1-4, 8, 10-12.</t>
  </si>
  <si>
    <t>57</t>
  </si>
  <si>
    <t>Odkopávky při pozemkové úpravě nezapaž., různé hloubky - viz poznámka</t>
  </si>
  <si>
    <t>a) výkop do hl. 100 mm (v místě odstranění stávajícího povrchu - již odkopáno 600 mm): 77,7 m2 x 0,1 m = 7,7 m3
b) výkop do hl. 200 mm (v místě odstranění stávajícího povrchu - již odkopáno 500 mm): 560,5 m2 x 0,2 m = 112,1 m3
c) výkop do hl. 300 mm (v místě odstranění stávajícího povrchu - již odkopáno 400 mm): 2,8 m2 x 0,3 m = 0,8 m3
d) výkop do hl. 800 mm: 44,5 m2 x 0,8 m = 35,6 m3 (v místě potřebného srovnání terénu)
e) výkop do hl. 300 mm pro osazení obrubníku: 95,6 m2 x 0,37 m = 35,4 m3
Již odkopáno: 3553,9 m2 = 0 m3.</t>
  </si>
  <si>
    <t>58</t>
  </si>
  <si>
    <t>181101102R00</t>
  </si>
  <si>
    <t>Úprava pláně v zářezech v hor. 1-4, se zhutněním</t>
  </si>
  <si>
    <t>763,8 m2 (plocha dlažby) + 95,6 m2 (plocha pro obrubník) = 859,4 m2</t>
  </si>
  <si>
    <t>59</t>
  </si>
  <si>
    <t>162701105RT3</t>
  </si>
  <si>
    <t>Vodorovné přemístění výkopku z hor.1-4 do 20000 m, vč. naložení na dopr. prostředek do 12 t a složení (191,6 m3 x koef. nakypření 1,22)</t>
  </si>
  <si>
    <t>60</t>
  </si>
  <si>
    <t>199000002R00</t>
  </si>
  <si>
    <t>Poplatek za skládku zeminy</t>
  </si>
  <si>
    <t>Kryty štěrkových a živičných pozemních komunikací a zpevněných ploch</t>
  </si>
  <si>
    <t>61</t>
  </si>
  <si>
    <t>171101101R00</t>
  </si>
  <si>
    <t>Uložení sypaniny s rozprostřením ve vrstvách a zhutněním</t>
  </si>
  <si>
    <t>57_</t>
  </si>
  <si>
    <t>15_5_</t>
  </si>
  <si>
    <t>- štěrkodrť fr. 0-8 (filtrační vrstva), vč. obrubníku: 859,4 m2 x 0,06 m x 1,05 koef. nakypření = 54,1 m3
- štěrkodrť fr. 0-63, vč. obrubníku: 859,4 m2 x 0,27 m x 1,05 koef. nakypření = 243,6 m3
- štěrkodrť fr. 0-32: 763,8 m2 x 0,17 m x 1,05 koef. nakypření = 136,4 m3</t>
  </si>
  <si>
    <t>62</t>
  </si>
  <si>
    <t>00011RVD</t>
  </si>
  <si>
    <t>Dovoz materiálu pro podkladní vrstvy na staveniště vozidlem do 12 t, poplatek za 1 km</t>
  </si>
  <si>
    <t>km</t>
  </si>
  <si>
    <t>Předpokládaná vzdálenost z lomu tam a zpět: 90 km
Maximální hmotnost převáženého materiálu/t: 7
= celkový počet t: 785,5 t/7 t = 112 potřebných vleček x 90 km</t>
  </si>
  <si>
    <t>63</t>
  </si>
  <si>
    <t>591111111R00</t>
  </si>
  <si>
    <t>Kladení dlažby velké kostky 15/17 - vějířovitý vzor, lože z kamen. tl. 4 cm; vč. dodání materiálu pro lože a výplň spár (kamenivo fr. 4-8)</t>
  </si>
  <si>
    <t>64</t>
  </si>
  <si>
    <t>917161111R00</t>
  </si>
  <si>
    <t>Osazení lež. obrubníku kamenného s opěrou, lože z C 16/20, vč. dodání materiálu pro lože a výplň spár</t>
  </si>
  <si>
    <t>H23</t>
  </si>
  <si>
    <t>Plochy a úpravy území</t>
  </si>
  <si>
    <t>65</t>
  </si>
  <si>
    <t>998222011R00</t>
  </si>
  <si>
    <t>Přesun hmot, pozemní komunikace, kryt z kameniva</t>
  </si>
  <si>
    <t>H23_</t>
  </si>
  <si>
    <t>15_9_</t>
  </si>
  <si>
    <t>66</t>
  </si>
  <si>
    <t>583415R</t>
  </si>
  <si>
    <t>Kamenivo drcené frakce 0-8, tl. 60 mm; 1,65 t/m3 x 54,1 m3</t>
  </si>
  <si>
    <t>0</t>
  </si>
  <si>
    <t>Z99999_</t>
  </si>
  <si>
    <t>15_Z_</t>
  </si>
  <si>
    <t>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</si>
  <si>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67</t>
  </si>
  <si>
    <t>583417R</t>
  </si>
  <si>
    <t>Kamenivo drcené frakce 0-63, tl. 340 mm; 1,85 t/m3 x 243,6 m3</t>
  </si>
  <si>
    <t>68</t>
  </si>
  <si>
    <t>583418R</t>
  </si>
  <si>
    <t>Kamenivo drcené frakce 0-32; tl. 100 mm; 1,80 t/m3 x 136,4 m3</t>
  </si>
  <si>
    <t>69</t>
  </si>
  <si>
    <t>58380R</t>
  </si>
  <si>
    <t>Kostka dlažební velká 15/17 cm; 1t=2,5m2; 305,5 + 3% ztratné; vč. dopravy a vykládky</t>
  </si>
  <si>
    <t>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
Použitý materiál musí být v celém objemu ze stejného lomu - ze stejné části stěny, příp. v lomu přebírán, aby byla zachována barevná jednotnost.
Barva:
- béžová žula: 763,8 m2</t>
  </si>
  <si>
    <t>70</t>
  </si>
  <si>
    <t>583801R</t>
  </si>
  <si>
    <t>Řezaný obrubník - žula sh. barvy jako povrch, d. 300 x š. 100 x v. 200 mm (v oboucích pol. délka: d. 150 x š. 100 x v. 200 mm); vč. dopravy a vykládky</t>
  </si>
  <si>
    <t>Cena materiálu byla stanovena na základě průzkumu trhu - s přihlédnutím k požadované kvalitě a druhu (barva kamene). Do ceny je zahrnuta také doprava a vykládka materiálu na staveništi.
Použitý materiál musí být v celém objemu ze stejného lomu (jako dlažební kostky) - ze stejné části stěny, příp. v lomu přebírán, aby byla zachována barevná jednotnost.</t>
  </si>
  <si>
    <t>K-Tp3: Dlažba ze žul. desek v okolí vodního prvku</t>
  </si>
  <si>
    <t>71</t>
  </si>
  <si>
    <t>Odkopávky při pozemkové úpravě nezapaž. (71,2 m2 x hl. 0,7 m)</t>
  </si>
  <si>
    <t>16_1_</t>
  </si>
  <si>
    <t>72</t>
  </si>
  <si>
    <t>73</t>
  </si>
  <si>
    <t>Vodorovné přemístění výkopku z hor.1-4 do 20000 m, vč. naložení na dopr. prostředek do 12 t a složení (49,8 m3 x koef. nakypření 1,22)</t>
  </si>
  <si>
    <t>74</t>
  </si>
  <si>
    <t>75</t>
  </si>
  <si>
    <t>16_5_</t>
  </si>
  <si>
    <t>- štěrkodrť fr. 0-8 (filtrační vrstva): 71,2 m2 x 0,08 m x 1,05 koef. nakypření = 5,9 m3</t>
  </si>
  <si>
    <t>76</t>
  </si>
  <si>
    <t>Předpokládaná vzdálenost z lomu tam a zpět: 90 km
Maximální hmotnost převáženého materiálu/t: 7
= celkový počet t: 9,7 t/7 t = 2 potřebné vlečky x 90 km</t>
  </si>
  <si>
    <t>77</t>
  </si>
  <si>
    <t>380320040RA0</t>
  </si>
  <si>
    <t>Kompletní konstrukce ze železobetonu C 20/25 vč. bednění a výztuže B500A, B500B, 71,2 m2 x tl. 0,55 m</t>
  </si>
  <si>
    <t>78</t>
  </si>
  <si>
    <t>632411104R00</t>
  </si>
  <si>
    <t>Vysokopevnostní vyrovnávací stěrka - 2x nanesení x 71,2 m2, vč. materiálu</t>
  </si>
  <si>
    <t>79</t>
  </si>
  <si>
    <t>711212002RT6</t>
  </si>
  <si>
    <t>Hydroizolační povlak - stěrka - 3x nanesení x 71,2 m2, vč. materiálu</t>
  </si>
  <si>
    <t>80</t>
  </si>
  <si>
    <t>460030452R</t>
  </si>
  <si>
    <t>Kladení dílů z řezané žuly šedé barvy na flexibilní mrazuvzdorné lepidlo pro lepení kamene - dle kladecího plánu</t>
  </si>
  <si>
    <t>Tloušťka vrstvy lepidla 5 mm; spáry 3 mm udržovány pomocí plastových T - křížků.</t>
  </si>
  <si>
    <t>81</t>
  </si>
  <si>
    <t>16_9_</t>
  </si>
  <si>
    <t>82</t>
  </si>
  <si>
    <t>Kamenivo drcené frakce 0-8, tl. 60 mm; 1,65 t/m3 x 5,9 m3</t>
  </si>
  <si>
    <t>16_Z_</t>
  </si>
  <si>
    <t>83</t>
  </si>
  <si>
    <t>03354687RVD</t>
  </si>
  <si>
    <t>Flexibilní mrazuvzdorné lepidlo na lepení kamene (1 kg = cca 0,2 m2 x 71,2 m2)</t>
  </si>
  <si>
    <t>kg</t>
  </si>
  <si>
    <t>84</t>
  </si>
  <si>
    <t>Řezaná deska - šedá žula, tl. 400 mmx 400 mm x tl. 50 mm, 71,2 m2 + ztratné 5%; vč. dopravy a vykládky</t>
  </si>
  <si>
    <t>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</t>
  </si>
  <si>
    <t>85</t>
  </si>
  <si>
    <t>033421687RVD</t>
  </si>
  <si>
    <t>Flexibilní vodovzdorná spárovací hmota (cca 0,4 kg x 71,2 m2)</t>
  </si>
  <si>
    <t>K-Tp4: Dlažba ze žul. kostek - odvodňovací žlábek</t>
  </si>
  <si>
    <t>86</t>
  </si>
  <si>
    <t>17_1_</t>
  </si>
  <si>
    <t>17_</t>
  </si>
  <si>
    <t>Výkopové práce nebudou nutné - žlábek bude realizován na místě původního žlábku, odstraněného v rámci B-Tp7).</t>
  </si>
  <si>
    <t>87</t>
  </si>
  <si>
    <t>17_5_</t>
  </si>
  <si>
    <t>- štěrkodrť fr. 0-8 (filtrační vrstva): 154,2 m2 x 0,06 m x 1,05 koef. nakypření = 9,7 m3
- štěrkodrť fr. 0-32: 154,2 m2 x 0,20 m x 1,05 koef. nakypření = 32,4 m3</t>
  </si>
  <si>
    <t>88</t>
  </si>
  <si>
    <t>Předpokládaná vzdálenost z lomu tam a zpět: 90 km
Maximální hmotnost převáženého materiálu/t: 7
= celkový počet t: 33,5 t/7 t = 5 potřebných vleček x 90 km</t>
  </si>
  <si>
    <t>89</t>
  </si>
  <si>
    <t>591241111R00</t>
  </si>
  <si>
    <t>Kladení dlažby drobné kostky, lože z betonu C 16/20 tl. 140 mm, vč. dodání materiálu pro lože a výplň spár (betonová mazanina)</t>
  </si>
  <si>
    <t>Materiál pro pokládku (kostky malé, tl. 60-120 mm) bude použit stávající, z vjezdu premiéra.</t>
  </si>
  <si>
    <t>90</t>
  </si>
  <si>
    <t>17_9_</t>
  </si>
  <si>
    <t>91</t>
  </si>
  <si>
    <t>Kamenivo drcené frakce 0-8, tl. 60 mm; 1,65 t/m3 x 9,7 m3</t>
  </si>
  <si>
    <t>17_Z_</t>
  </si>
  <si>
    <t>92</t>
  </si>
  <si>
    <t>Kamenivo drcené frakce 0-32; tl. 200 mm; 1,80 t/m3 x 9,7 m3</t>
  </si>
  <si>
    <t>K-Tp5: Zídka z pískovcových haklíků</t>
  </si>
  <si>
    <t>93</t>
  </si>
  <si>
    <t>Vytýčení technických prvků - zídky, schodiště, štěrková plocha</t>
  </si>
  <si>
    <t>18_1_</t>
  </si>
  <si>
    <t>18_</t>
  </si>
  <si>
    <t>Platí pro K-Tp5-8.</t>
  </si>
  <si>
    <t>94</t>
  </si>
  <si>
    <t>Odkopávky při pozemkové úpravě nezapaž. (44,7 m2 x hl. 0,1 mm)</t>
  </si>
  <si>
    <t>Prohloubení původních výkopů o 100 mm a rozšíření o 200 mm pro vrstvu podkladového betonu.</t>
  </si>
  <si>
    <t>95</t>
  </si>
  <si>
    <t>Celá plocha pod zídkou.</t>
  </si>
  <si>
    <t>96</t>
  </si>
  <si>
    <t>Vodorovné přemístění výkopku z hor.1-4 do 20000 m, vč. naložení na dopr. prostředek do 12 t a složení  (4,5 m3 x koef. nakypření 1,22)</t>
  </si>
  <si>
    <t>97</t>
  </si>
  <si>
    <t>Základy</t>
  </si>
  <si>
    <t>98</t>
  </si>
  <si>
    <t>273313511R00</t>
  </si>
  <si>
    <t>Beton podkladový pro bednění prostý C 10/12 tl. 100 mm - 10 cm od hrany plánované zídky na obě strany, pro uložení bednění</t>
  </si>
  <si>
    <t>27_</t>
  </si>
  <si>
    <t>18_2_</t>
  </si>
  <si>
    <t>99</t>
  </si>
  <si>
    <t>274310020RA0</t>
  </si>
  <si>
    <t>Základový pas z betonu C 12/15, vč. bednění a jeho odstranění tl. 800 mm</t>
  </si>
  <si>
    <t>100</t>
  </si>
  <si>
    <t>711823121RT4</t>
  </si>
  <si>
    <t>Montáž nopové fólie svisle 400 g/m2; vč. materiálu (144,5 m2 + 10% překryv)</t>
  </si>
  <si>
    <t>RTS I / 2016</t>
  </si>
  <si>
    <t>Izolační HDPE nopová fólie, š. 1000 mm; přesah 350 mm pod betonový základový pás. Fólie bude ukončena na horní straně zdiva pod korunou z pískovcových desek.</t>
  </si>
  <si>
    <t>101</t>
  </si>
  <si>
    <t>711111011RT1</t>
  </si>
  <si>
    <t>Izolace proti vlhkosti; vodorovný nátěr asfaltové penetrace (hl. 0,8 m x d. 147,5 m + hl. 0,8 m x š. 0,3 m) x 2 + d. 147,5 m š. 0,3 m</t>
  </si>
  <si>
    <t>102</t>
  </si>
  <si>
    <t>712211559R00</t>
  </si>
  <si>
    <t>Podkladní asfaltový izolační pás natavením, vč. materiálu (1,15 m2 pásu/m2 x 280,7 m2)</t>
  </si>
  <si>
    <t>Zdi přehradní a opěrné</t>
  </si>
  <si>
    <t>103</t>
  </si>
  <si>
    <t>3261331R</t>
  </si>
  <si>
    <t>Zdivo nadzákladové, z pískovcových haklíků béžové barvy, zděné na maltu, vč. materiálu, vč. dopravy a vykládky</t>
  </si>
  <si>
    <t>32_</t>
  </si>
  <si>
    <t>18_3_</t>
  </si>
  <si>
    <t>- zdící malta musí být vhodná pro zdění z pískovce
- 4 řádky a koruna z desek z řezaného pískovce
- vertikálně ložené haklíky půjdou přes 2 řádky
- spáry mezi haklíky cca 15-20 mm vyplněny stejnou zdící maltou
- rubová strana zdi bude doplněna drobnějším lomovým kamenem na stejnou maltu do celkové šířky zdi 300 mm.</t>
  </si>
  <si>
    <t>H15</t>
  </si>
  <si>
    <t>Objekty pozemní zvláštní</t>
  </si>
  <si>
    <t>104</t>
  </si>
  <si>
    <t>998153131R00</t>
  </si>
  <si>
    <t>Přesun hmot, zdi a valy samostatné zděné do 20 m</t>
  </si>
  <si>
    <t>RTS I / 2018</t>
  </si>
  <si>
    <t>H15_</t>
  </si>
  <si>
    <t>18_9_</t>
  </si>
  <si>
    <t>105</t>
  </si>
  <si>
    <t>11163230</t>
  </si>
  <si>
    <t>Emulze asfaltová penetrační (cca 0,3 kg/m2 x 280,7 m2)</t>
  </si>
  <si>
    <t>18_Z_</t>
  </si>
  <si>
    <t>106</t>
  </si>
  <si>
    <t>04389R</t>
  </si>
  <si>
    <t>Desky z řezaného béžového pískovce (d. 600 mm x š. 350 mm x tl. 50 mm) - koruna zídky; vč. dopravy a vykládky</t>
  </si>
  <si>
    <t>Cena materiálu byla stanovena na základě průzkumu trhu - s přihlédnutím k požadované kvalitě a druhu (barva kamene). Do ceny je zahrnuta také doprava a vykládka materiálu na staveništi.
Barva pískovce musí být shodná jako barva kamene použitého na haklíkové zdivo (béžová) - tj. musí být ze stejného lomu.</t>
  </si>
  <si>
    <t>K-Tp6: Nízká zídka z pískovcových haklíků</t>
  </si>
  <si>
    <t>107</t>
  </si>
  <si>
    <t>Odkopávky při pozemkové úpravě nezapaž. (0,9 m2 x hl. 0,7 m)</t>
  </si>
  <si>
    <t>19_1_</t>
  </si>
  <si>
    <t>19_</t>
  </si>
  <si>
    <t>108</t>
  </si>
  <si>
    <t>109</t>
  </si>
  <si>
    <t>Vodorovné přemístění výkopku z hor.1-4 do 20000 m, vč. naložení na dopr. prostředek do 12 t a složení (0,6 m3 x koef. nakypření 1,22)</t>
  </si>
  <si>
    <t>110</t>
  </si>
  <si>
    <t>111</t>
  </si>
  <si>
    <t>326211331R00</t>
  </si>
  <si>
    <t>19_3_</t>
  </si>
  <si>
    <t>- zdící malta musí být vhodná pro zdění z pískovce
- 2 řádky a koruna z desek z řezaného pískovce
- vertikálně ložené haklíky půjdou přes 2 řádky
- spáry mezi haklíky cca 15-20 mm vyplněny stejnou zdící maltou
- rubová strana zdi bude doplněna drobnějším lomovým kamenem na stejnou maltu do celkové šířky zdi 300 mm.</t>
  </si>
  <si>
    <t>Zdi podpěrné a volné</t>
  </si>
  <si>
    <t>112</t>
  </si>
  <si>
    <t>311112320RT1</t>
  </si>
  <si>
    <t>Stěna z tvárnic ztraceného bednění tl. 0,2 m; spojení betonem C 12/15; v. 0,5 m x d. 3,1 bm; 2 řádky, vč. dodání materiálu (tvárnice, beton)</t>
  </si>
  <si>
    <t>31_</t>
  </si>
  <si>
    <t>113</t>
  </si>
  <si>
    <t>Montáž nopové fólie svisle 400 g/m2; vč. materiálu (1,6 m2 + 10% překryv)</t>
  </si>
  <si>
    <t>Izolační HDPE nopová fólie, š. 1000 mm; přesah 200 mm pod betonový základový pás. Fólie bude ukončena na horní straně zdiva pod korunou z pískovcových desek.</t>
  </si>
  <si>
    <t>114</t>
  </si>
  <si>
    <t>Izolace proti vlhkosti; vodorovný nátěr asfaltové penetrace (hl. 0,5 m x d. 3,1 m + hl. 0,5 m x š. 0,3 m) x 2 + d. 3,1 m š. 0,3 m</t>
  </si>
  <si>
    <t>115</t>
  </si>
  <si>
    <t>Podkladní asfaltový izolační pás natavením, vč. materiálu (1,15 m2 pásu/m2 x 4,5 m2)</t>
  </si>
  <si>
    <t>116</t>
  </si>
  <si>
    <t>19_9_</t>
  </si>
  <si>
    <t>117</t>
  </si>
  <si>
    <t>Emulze asfaltová penetrační (cca 0,3 kg/m2 x 4,5 m2)</t>
  </si>
  <si>
    <t>19_Z_</t>
  </si>
  <si>
    <t>118</t>
  </si>
  <si>
    <t>K-Tp7: Kamenné schody</t>
  </si>
  <si>
    <t>119</t>
  </si>
  <si>
    <t>963022R</t>
  </si>
  <si>
    <t>Rekonstrukce schodiště dle restaurátorského záměru - podrobně viz příslušná příloha</t>
  </si>
  <si>
    <t>20_1_</t>
  </si>
  <si>
    <t>20_</t>
  </si>
  <si>
    <t>K-Tp8: Štěrkový povrch</t>
  </si>
  <si>
    <t>120</t>
  </si>
  <si>
    <t>Odkopávky při pozemkové úpravě nezapaž. (85 m2 x hl. 0,36 m)</t>
  </si>
  <si>
    <t>21_1_</t>
  </si>
  <si>
    <t>21_</t>
  </si>
  <si>
    <t>121</t>
  </si>
  <si>
    <t>122</t>
  </si>
  <si>
    <t>Vodorovné přemístění výkopku z hor.1-4 do 20000 m, vč. naložení na dopr. prostředek do 12 t a složení (30,6 m3 x koef. nakypření 1,22)</t>
  </si>
  <si>
    <t>123</t>
  </si>
  <si>
    <t>124</t>
  </si>
  <si>
    <t>21_5_</t>
  </si>
  <si>
    <t>- prané těžné tříděné kamenivo fr. 8-16: 85 m2 x 0,1 m x 1,05 koef. nakypření = 9 m3
- štěrkodrť fr. 0-63: 85 m2 x 0,26 m x 1,05 koef. nakypření = 23,2 m3</t>
  </si>
  <si>
    <t>125</t>
  </si>
  <si>
    <t>Předpokládaná vzdálenost z lomu tam a zpět: 90 km
Maximální hmotnost převáženého materiálu/t: 7
= celkový počet t: 55,5 t/7 t = 8 potřebných vleček x 90 km</t>
  </si>
  <si>
    <t>126</t>
  </si>
  <si>
    <t>998222012R00</t>
  </si>
  <si>
    <t>Přesun hmot, zpevněné plochy, kryt z kameniva</t>
  </si>
  <si>
    <t>RTS II / 2016</t>
  </si>
  <si>
    <t>21_9_</t>
  </si>
  <si>
    <t>127</t>
  </si>
  <si>
    <t>Kamenivo drcené frakce 0-63, tl. 260 mm; 1,85 t/m3 x 23,2 m3</t>
  </si>
  <si>
    <t>21_Z_</t>
  </si>
  <si>
    <t>128</t>
  </si>
  <si>
    <t>583315R</t>
  </si>
  <si>
    <t>Kamenivo těžené tříděné prané frakce 8/16, tl. 100 mm; 1,40 t/m3 x 9 m3</t>
  </si>
  <si>
    <t>K-Tp9: Oprava okapového chodníku</t>
  </si>
  <si>
    <t>129</t>
  </si>
  <si>
    <t>22_5_</t>
  </si>
  <si>
    <t>22_</t>
  </si>
  <si>
    <t>130</t>
  </si>
  <si>
    <t>451313511R00</t>
  </si>
  <si>
    <t>Podklad betonový pod dlažbu tl. do 100 mm, vč. materiálu - vyplnění dutin s obnaženou výztuží betonem C 16/20</t>
  </si>
  <si>
    <t>131</t>
  </si>
  <si>
    <t>Vyrovnávací stěrka - 2x nanesení, vč. materiálu</t>
  </si>
  <si>
    <t>132</t>
  </si>
  <si>
    <t>Kladení dílů z řezaného béžového pískovce béžové barvy na flexibilní mrazuvzdorné lepidlo pro lepení kamene tl. 5-10 mm</t>
  </si>
  <si>
    <t>133</t>
  </si>
  <si>
    <t>22_9_</t>
  </si>
  <si>
    <t>134</t>
  </si>
  <si>
    <t>Flexibilní mrazuvzdorné lepidlo na lepení kamene (1 kg = cca 0,2 m2)</t>
  </si>
  <si>
    <t>22_Z_</t>
  </si>
  <si>
    <t>Desky nebudou spárovány, aby nedošlo k zakrytí větracích dutin pod dlažbou.</t>
  </si>
  <si>
    <t>135</t>
  </si>
  <si>
    <t>Řezané díly okapového chodníku - pískovec, tl. 40 mm - dle původního rozměru desek: 600x600x40 mm, 4 m2 + ztratné 5%; vč. dopravy a vykládky</t>
  </si>
  <si>
    <t>Cena materiálu byla stanovena na základě průzkumu trhu - s přihlédnutím k požadované kvalitě a druhu (barva kamene). Do ceny je zahrnuta také doprava a vykládka materiálu na staveništi.
Barva pískovce musí být shodná jako barva původních desek (béžová).
Desky budou na místě upraveny tak, aby je bylo možné vložit kolem bleskosvodů.</t>
  </si>
  <si>
    <t>K-Tp10: Dlažba ze žul. kostek v betonovém loži</t>
  </si>
  <si>
    <t>136</t>
  </si>
  <si>
    <t>23_5_</t>
  </si>
  <si>
    <t>23_</t>
  </si>
  <si>
    <t>137</t>
  </si>
  <si>
    <t>- štěrkodrť fr. 0-8 (filtrační vrstva): 41 m2 x 0,06 m x 1,05 koef. nakypření = 2,6 m3
- štěrkodrť fr. 0-32: 41 m2 x 0,10 m x 1,05 koef. nakypření = 4,3 m3</t>
  </si>
  <si>
    <t>138</t>
  </si>
  <si>
    <t>Předpokládaná vzdálenost z lomu tam a zpět: 90 km
Maximální hmotnost převáženého materiálu/t: 7
= celkový počet t: 78,1 t/7 t = 12 potřebných vleček x 90 km</t>
  </si>
  <si>
    <t>139</t>
  </si>
  <si>
    <t>140</t>
  </si>
  <si>
    <t>23_9_</t>
  </si>
  <si>
    <t>141</t>
  </si>
  <si>
    <t>Kamenivo drcené frakce 0-8, tl. 60 mm; 1,65 t/m3 x 2,6 m3</t>
  </si>
  <si>
    <t>23_Z_</t>
  </si>
  <si>
    <t>142</t>
  </si>
  <si>
    <t>Kamenivo drcené frakce 0-32; tl. 100 mm; 1,80 t/m3 x 41 m3</t>
  </si>
  <si>
    <t>143</t>
  </si>
  <si>
    <t>58380120</t>
  </si>
  <si>
    <t>Kostka dlažební drobná 8/10 béžové barvy (1 t = 5 m2); vč. dopravy a vykládky</t>
  </si>
  <si>
    <t>Cena materiálu byla stanovena na základě průzkumu trhu - s přihlédnutím k požadované kvalitě a druhu (barva kamene). Do ceny je zahrnuta také doprava a vykládka materiálu na staveništi.</t>
  </si>
  <si>
    <t>K-Tp11: Dlažba ze žul. kostek přemístěných</t>
  </si>
  <si>
    <t>144</t>
  </si>
  <si>
    <t>Odkopávky při pozemkové úpravě nezapaž. (26 m2 x hl. 0,36 m)</t>
  </si>
  <si>
    <t>24_1_</t>
  </si>
  <si>
    <t>24_</t>
  </si>
  <si>
    <t>Odkopávky pouze v případě zálivů pod lavičky a úzkého pásu kolem budovy - odkopávky pro dlažbu nejsou třeba, byly provedeny při odstranění stávajícího povrchu.</t>
  </si>
  <si>
    <t>145</t>
  </si>
  <si>
    <t>Vodorovné přemístění výkopku z hor.1-4 do 20000 m, vč. naložení na dopr. prostředek do 12 t a složení (9,4 m3 x koef. nakypření 1,22)</t>
  </si>
  <si>
    <t>146</t>
  </si>
  <si>
    <t>147</t>
  </si>
  <si>
    <t>Vodorovné přemístění kam. kost z mezideponie (v rámci staveniště) do 200 m, vč. naložení na dopr. prostředek do 12 t a složení  (1 t = 5 m2)</t>
  </si>
  <si>
    <t>Dlažby a předlažby pozemních komunikací a zpevněných ploch</t>
  </si>
  <si>
    <t>148</t>
  </si>
  <si>
    <t>59_</t>
  </si>
  <si>
    <t>24_5_</t>
  </si>
  <si>
    <t>149</t>
  </si>
  <si>
    <t>- štěrkodrť fr. 0-8 (filtrační vrstva): 311,4 m2 x 0,06 m x 1,05 koef. nakypření = 19,6 m3
- štěrkodrť fr. 0-32: 311,4 m2 x 0,14 m x 1,05 koef. nakypření = 45,8 m3</t>
  </si>
  <si>
    <t>150</t>
  </si>
  <si>
    <t>Předpokládaná vzdálenost z lomu tam a zpět: 90 km
Maximální hmotnost převáženého materiálu/t: 7
= celkový počet t: 114,7 t/7 t = 17 potřebných vleček x 90 km</t>
  </si>
  <si>
    <t>151</t>
  </si>
  <si>
    <t>591211111R00</t>
  </si>
  <si>
    <t>Kladení dlažby malé kostky - vějířovitý vzor, lože z kamen.tl. 4 cm, vč. dodání materiálu pro lože a výplň spár (kamenivo fr. 4-8)</t>
  </si>
  <si>
    <t>152</t>
  </si>
  <si>
    <t>24_9_</t>
  </si>
  <si>
    <t>153</t>
  </si>
  <si>
    <t>Kamenivo drcené frakce 0-8, tl. 60 mm; 1,65 t/m3 x 19,6 m3</t>
  </si>
  <si>
    <t>24_Z_</t>
  </si>
  <si>
    <t>154</t>
  </si>
  <si>
    <t>Kamenivo drcené frakce 0-32; tl. 140 mm; 1,80 t/m3 x 45,8 m3</t>
  </si>
  <si>
    <t>K-Tp12: Vysoká obruba dlážděných ploch</t>
  </si>
  <si>
    <t>155</t>
  </si>
  <si>
    <t>25_1_</t>
  </si>
  <si>
    <t>25_</t>
  </si>
  <si>
    <t>Doplňující konstrukce a práce na pozemních komunikacích a zpevněných plochách</t>
  </si>
  <si>
    <t>156</t>
  </si>
  <si>
    <t>Osazení lež. obrub. kamenného (řezané žulové desky) s opěrou, lože z C 16/20, vč. dodání materiálu pro lože a výplň spár</t>
  </si>
  <si>
    <t>91_</t>
  </si>
  <si>
    <t>25_9_</t>
  </si>
  <si>
    <t>157</t>
  </si>
  <si>
    <t>158</t>
  </si>
  <si>
    <t>Řezaná deska pro obrubu - béžová žula; vč. dopravy a vykl.;d. 300xš. 100x v. 300-400 mm (v obloucích poloviční délka: d. 150 x š. 100 x v. 300-400 mm)</t>
  </si>
  <si>
    <t>25_Z_</t>
  </si>
  <si>
    <t>K-Tp13: Oprava lemu schodiště z pískovcových desek</t>
  </si>
  <si>
    <t>159</t>
  </si>
  <si>
    <t>26_5_</t>
  </si>
  <si>
    <t>26_</t>
  </si>
  <si>
    <t>160</t>
  </si>
  <si>
    <t>- štěrkodrť fr. 0-8 (filtrační vrstva): 1,5 m2 x 0,06 m x 1,05 koef. nakypření = 0,1 m3</t>
  </si>
  <si>
    <t>161</t>
  </si>
  <si>
    <t>Předpokládaná vzdálenost z lomu tam a zpět: 90 km
Maximální hmotnost převáženého materiálu/t: 7
= celkový počet t: 0,2 t/7 t = 1 potřebná vlečka x 90 km</t>
  </si>
  <si>
    <t>162</t>
  </si>
  <si>
    <t>311351101R00</t>
  </si>
  <si>
    <t>Bednění nadzákladových zdí jednostranné - zřízení</t>
  </si>
  <si>
    <t>26_3_</t>
  </si>
  <si>
    <t>163</t>
  </si>
  <si>
    <t>311351102R00</t>
  </si>
  <si>
    <t>Bednění nadzákladových zdí jednostranné-odstranění</t>
  </si>
  <si>
    <t>164</t>
  </si>
  <si>
    <t>326312521R00</t>
  </si>
  <si>
    <t>Zdivo nadzákladové z betonu prostého C16/20</t>
  </si>
  <si>
    <t>165</t>
  </si>
  <si>
    <t>Kladení dílů z řezaného pískovce tl. 40 mm na flexibilní mrazuvzdorné lepidlo pro lepení kamene</t>
  </si>
  <si>
    <t>Tloušťka vrstvy lepidla 5 mm.</t>
  </si>
  <si>
    <t>166</t>
  </si>
  <si>
    <t>26_9_</t>
  </si>
  <si>
    <t>167</t>
  </si>
  <si>
    <t>Kamenivo drcené frakce 0-8, tl. 60 mm; 1,65 t/m3 x 0,1 m3</t>
  </si>
  <si>
    <t>26_Z_</t>
  </si>
  <si>
    <t>168</t>
  </si>
  <si>
    <t>Řezaná deska - pískovec béžové barvy, d. 300 x š. 200 x tl. 40 mm (0,8 m3 x 2,6 t/m3); vč. dopravy a vykládky</t>
  </si>
  <si>
    <t>169</t>
  </si>
  <si>
    <t>170</t>
  </si>
  <si>
    <t>Flexibilní vodovzdorná spárovací hmota vhodná pro pískovec (cca 0,4 kg/m2 x 2 m2)</t>
  </si>
  <si>
    <t>K-Tp14: Drátěný plot v živém plotu</t>
  </si>
  <si>
    <t>171</t>
  </si>
  <si>
    <t>Vytýčení technických prvků - sloupky plotu</t>
  </si>
  <si>
    <t>27_1_</t>
  </si>
  <si>
    <t>172</t>
  </si>
  <si>
    <t>275171001RT1</t>
  </si>
  <si>
    <t>Zavrtání zemního vrutu, vč. dodávky vrutu typ 600/6 (d. 550 mm, pr. 60 mm)</t>
  </si>
  <si>
    <t>kus</t>
  </si>
  <si>
    <t>27_2_</t>
  </si>
  <si>
    <t>Sloupy a pilíře, stožáry a rámové stojky</t>
  </si>
  <si>
    <t>173</t>
  </si>
  <si>
    <t>339928821R00</t>
  </si>
  <si>
    <t>Osazení sloupku plotu (FeZn, prům. 38 mm, síla 1,25 mm, d. 1500 mm), s PVC zeleným poplastováním, vč. čepičky</t>
  </si>
  <si>
    <t>33_</t>
  </si>
  <si>
    <t>27_3_</t>
  </si>
  <si>
    <t>Základní vzdálenost sloupků: 2500 mm, krajní sloupky a rohový opatřeny vzpěrou.</t>
  </si>
  <si>
    <t>174</t>
  </si>
  <si>
    <t>998231311R00</t>
  </si>
  <si>
    <t>Přesun hmot pro sadovnické a krajin. úpravy do 5km</t>
  </si>
  <si>
    <t>27_9_</t>
  </si>
  <si>
    <t>175</t>
  </si>
  <si>
    <t>553462111</t>
  </si>
  <si>
    <t>Sloupek plotový poplastovaný, prům. 38 mm, tl. stěny 1,25 mm, d. 1500 mm; s čepičkou PVC a příchytkou nap. drátu; barva zelená</t>
  </si>
  <si>
    <t>27_Z_</t>
  </si>
  <si>
    <t>176</t>
  </si>
  <si>
    <t>5534622132</t>
  </si>
  <si>
    <t>Vzpěra kulatá poplastovaná, prům. 38 mm, tl. stěny 1,25 mm, d. 1500 mm; s čepičkou PVC; barva zelená</t>
  </si>
  <si>
    <t>177</t>
  </si>
  <si>
    <t>043036RVD</t>
  </si>
  <si>
    <t>Napínací drát poplastovaný, vč. dodávky a instalace; barva zelená</t>
  </si>
  <si>
    <t>bm</t>
  </si>
  <si>
    <t>178</t>
  </si>
  <si>
    <t>31327511</t>
  </si>
  <si>
    <t>Pletivo pozinkované, poplastované, síly 1,65 mm, oko 55x55 mm; v. 1250 mm; barva zelená</t>
  </si>
  <si>
    <t>K-Tp15: Kovové zábradlí u hlavního schodiště</t>
  </si>
  <si>
    <t>767</t>
  </si>
  <si>
    <t>Konstrukce doplňkové stavební (zámečnické)</t>
  </si>
  <si>
    <t>179</t>
  </si>
  <si>
    <t>767165120R00</t>
  </si>
  <si>
    <t>Montáž madel z trubek zábr. rovného - svařováním</t>
  </si>
  <si>
    <t>767_</t>
  </si>
  <si>
    <t>28_76_</t>
  </si>
  <si>
    <t>28_</t>
  </si>
  <si>
    <t>180</t>
  </si>
  <si>
    <t>953941711R00</t>
  </si>
  <si>
    <t>Osazení držáků</t>
  </si>
  <si>
    <t>H767</t>
  </si>
  <si>
    <t>181</t>
  </si>
  <si>
    <t>998767101R00</t>
  </si>
  <si>
    <t>Přesun hmot pro zámečnické konstr., výšky do 2 m</t>
  </si>
  <si>
    <t>H767_</t>
  </si>
  <si>
    <t>28_9_</t>
  </si>
  <si>
    <t>182</t>
  </si>
  <si>
    <t>55395100.A</t>
  </si>
  <si>
    <t>Zábradlí ocelové, pásovina; d. 3 m, vč. držáků do zdi, záslepek; vč. dodávky</t>
  </si>
  <si>
    <t>28_Z_</t>
  </si>
  <si>
    <t>K-Tp16: Výměna mříží odvodňovacích žlabů</t>
  </si>
  <si>
    <t>110VD</t>
  </si>
  <si>
    <t>Přípravné práce</t>
  </si>
  <si>
    <t>183</t>
  </si>
  <si>
    <t>1105489RVD</t>
  </si>
  <si>
    <t>Odborné odstranění mříže odvodňovacího žlabu, vč. naložení na dopr. prostředek a složení</t>
  </si>
  <si>
    <t>110VD_</t>
  </si>
  <si>
    <t>29_1_</t>
  </si>
  <si>
    <t>29_</t>
  </si>
  <si>
    <t>184</t>
  </si>
  <si>
    <t>597091142RS3</t>
  </si>
  <si>
    <t>Krycí rošt liniového žlabu, zatížení B 125, š. 100 mm, dl.1000 mm; vč. dodávky a montáže</t>
  </si>
  <si>
    <t>29_5_</t>
  </si>
  <si>
    <t>H31</t>
  </si>
  <si>
    <t>Hydromeliorace</t>
  </si>
  <si>
    <t>185</t>
  </si>
  <si>
    <t>998318011R00</t>
  </si>
  <si>
    <t>Přesun hmot pro meliorační kanály</t>
  </si>
  <si>
    <t>H31_</t>
  </si>
  <si>
    <t>29_9_</t>
  </si>
  <si>
    <t>186</t>
  </si>
  <si>
    <t>187</t>
  </si>
  <si>
    <t>K-Tp17: Nový okapový chodník z pískovcových desek</t>
  </si>
  <si>
    <t>188</t>
  </si>
  <si>
    <t>30_1_</t>
  </si>
  <si>
    <t>30_</t>
  </si>
  <si>
    <t>Výkopové práce nebudou nutné - žlábek bude realizován na místě odstraněné původní zpevněné plochy.</t>
  </si>
  <si>
    <t>189</t>
  </si>
  <si>
    <t>30_5_</t>
  </si>
  <si>
    <t>- štěrkodrť fr. 0-8 (filtrační vrstva): 3,6 m2 x 0,06 m x 1,05 koef. nakypření = 0,2 m3
- štěrkodrť fr. 0-32: 3,6 m2 x 0,10 m x 1,05 koef. nakypření = 0,4 m3</t>
  </si>
  <si>
    <t>190</t>
  </si>
  <si>
    <t>Předpokládaná vzdálenost z lomu tam a zpět: 90 km
Maximální hmotnost převáženého materiálu/t: 7
= celkový počet t: 1 t/7 t = 1 potřebná vlečka x 90 km</t>
  </si>
  <si>
    <t>191</t>
  </si>
  <si>
    <t>Podklad betonový pod dlažbu tl. do 100 mm - beton C 16/20, vč. materiálu</t>
  </si>
  <si>
    <t>192</t>
  </si>
  <si>
    <t>771101210R00</t>
  </si>
  <si>
    <t>Penetrace podkladu pod dlažby, vč. materiálu</t>
  </si>
  <si>
    <t>193</t>
  </si>
  <si>
    <t>Vyrovnávací stěrka - 2x nanesení x 3,6 m2, vč. materiálu</t>
  </si>
  <si>
    <t>194</t>
  </si>
  <si>
    <t>Kladení dílů z řezaného béžového pískovce na flexibilní mrazuvzdorné lepidlo pro lepení kamene (viz specifikace)</t>
  </si>
  <si>
    <t>Lepení na speciální mrazuvzdorné flexibilní lepidlo vhodné pro lepení pískovce zubovým hladítkem. Tloušťka vrstvy lepidla cca 5 mm.</t>
  </si>
  <si>
    <t>195</t>
  </si>
  <si>
    <t>30_9_</t>
  </si>
  <si>
    <t>196</t>
  </si>
  <si>
    <t>Kamenivo drcené frakce 0-8, tl. 60 mm; 1,65 t/m3 x 0,2 m3</t>
  </si>
  <si>
    <t>30_Z_</t>
  </si>
  <si>
    <t>197</t>
  </si>
  <si>
    <t>Kamenivo drcené frakce 0-32; tl. 100 mm; 1,80 t/m3 x 0,4 m3</t>
  </si>
  <si>
    <t>198</t>
  </si>
  <si>
    <t>199</t>
  </si>
  <si>
    <t>Řezané díly žlábku - pískovec béžové barvy, rozměry: 600x600x40 mm, 3,6 m2 + 5% ztratné; vč. dopravy a vykládky</t>
  </si>
  <si>
    <t>Cena materiálu byla stanovena na základě průzkumu trhu - s přihlédnutím k požadované kvalitě a druhu (barva kamene). Do ceny je zahrnuta také doprava a vykládka materiálu na staveništi.
Barva pískovce musí být shodná jako barva původních desek (béžová).</t>
  </si>
  <si>
    <t>K-Tp18: Nový liniový odvodňovací žlábek</t>
  </si>
  <si>
    <t>200</t>
  </si>
  <si>
    <t>31_1_</t>
  </si>
  <si>
    <t>201</t>
  </si>
  <si>
    <t>597101113RT1</t>
  </si>
  <si>
    <t>Montáž odvodňovacího žlabu dle instrukcí výrobce, vč. betonového lože (dodávka + materiál)</t>
  </si>
  <si>
    <t>31_5_</t>
  </si>
  <si>
    <t>202</t>
  </si>
  <si>
    <t>597101035RA0</t>
  </si>
  <si>
    <t>Žlab odvodňovací polymerbeton, zatížení D400 kN, š. 190 mm, DN 100 mm, vč. litinového krytu</t>
  </si>
  <si>
    <t>203</t>
  </si>
  <si>
    <t>31_9_</t>
  </si>
  <si>
    <t>K-Tp19: Cementová stěrka na stěnách zás. rampy</t>
  </si>
  <si>
    <t>783</t>
  </si>
  <si>
    <t>Nátěry</t>
  </si>
  <si>
    <t>204</t>
  </si>
  <si>
    <t>783801812R00</t>
  </si>
  <si>
    <t>Odstranění nátěrů z omítek stěn oškrabáním, vyčištění</t>
  </si>
  <si>
    <t>783_</t>
  </si>
  <si>
    <t>32_78_</t>
  </si>
  <si>
    <t>205</t>
  </si>
  <si>
    <t>Penetrace podkladu hloubková, vč. materiálu</t>
  </si>
  <si>
    <t>206</t>
  </si>
  <si>
    <t>Vyrovnávací opravná stěrka - prostupná pro vodní páru, mrazuvzdorná, odolná vůči solím, vč. materiálu</t>
  </si>
  <si>
    <t>207</t>
  </si>
  <si>
    <t>602012131R00</t>
  </si>
  <si>
    <t>Stěrka cementová - 2x nanesení x 15 m2 - prostupná pro vodní páru, mrazuvzdorná, odolná vůči solím, (po 1. vrstvě přebroušení), vč. materiálu</t>
  </si>
  <si>
    <t>Barva stěrky: béžová, blížící se barvě fasády okolních budov.</t>
  </si>
  <si>
    <t>208</t>
  </si>
  <si>
    <t>784510010RAA</t>
  </si>
  <si>
    <t>Impregnace finálního povrchu - umožňující prostup vodní páry - 1x nanesení, vč. materiálu</t>
  </si>
  <si>
    <t>209</t>
  </si>
  <si>
    <t>783201811R00</t>
  </si>
  <si>
    <t>Odstranění nátěrů z kovových konstrukcí oškrábáním</t>
  </si>
  <si>
    <t>210</t>
  </si>
  <si>
    <t>783292007R00</t>
  </si>
  <si>
    <t>Nátěr základní antikorozní barvou na kov na syntetické bázi - 1x nanesení, vč. materiálu</t>
  </si>
  <si>
    <t>211</t>
  </si>
  <si>
    <t>783292002R00</t>
  </si>
  <si>
    <t>Nátěr vrchní barvou na syntetické bázi - 2x nanesení x 1 m2, vč. materiálu</t>
  </si>
  <si>
    <t>H99</t>
  </si>
  <si>
    <t>Ostatní přesuny hmot</t>
  </si>
  <si>
    <t>212</t>
  </si>
  <si>
    <t>999281105R00</t>
  </si>
  <si>
    <t>Přesun hmot pro opravy a údržbu do výšky 6 m</t>
  </si>
  <si>
    <t>H99_</t>
  </si>
  <si>
    <t>32_9_</t>
  </si>
  <si>
    <t>K-Tp20: Dlažba z řezaných žul. desek v bet. loži</t>
  </si>
  <si>
    <t>213</t>
  </si>
  <si>
    <t>Odkopávky při pozemkové úpravě nezapaž. (38 m2 x hl. 0,36 m)</t>
  </si>
  <si>
    <t>33_1_</t>
  </si>
  <si>
    <t>214</t>
  </si>
  <si>
    <t>215</t>
  </si>
  <si>
    <t>Vodorovné přemístění výkopku z hor.1-4 do 20000 m, vč. naložení na dopr. prostředek do 12 t a složení (13,7 m3 x koef. nakypření 1,22)</t>
  </si>
  <si>
    <t>216</t>
  </si>
  <si>
    <t>217</t>
  </si>
  <si>
    <t>33_5_</t>
  </si>
  <si>
    <t>- štěrkodrť fr. 0-8 (filtrační vrstva):38 m2 x 0,06 m x 1,05 koef. nakypření = 2,4 m3</t>
  </si>
  <si>
    <t>218</t>
  </si>
  <si>
    <t>Předpokládaná vzdálenost z lomu tam a zpět: 90 km
Maximální hmotnost převáženého materiálu/t: 7
= celkový počet t: 4 t/7 t = 1 potřebná vlečka x 90 km</t>
  </si>
  <si>
    <t>219</t>
  </si>
  <si>
    <t>274310030RA0</t>
  </si>
  <si>
    <t>Základový pas z betonu C 16/20, vč. materiálu a bednění (38 m2 x hl. 0,25 m)</t>
  </si>
  <si>
    <t>33_2_</t>
  </si>
  <si>
    <t>220</t>
  </si>
  <si>
    <t>Kladení dílů z řezané žuly tl. 50 mm na flexibilní mrazuvzdorné lepidlo pro lepení kamene</t>
  </si>
  <si>
    <t>33_3_</t>
  </si>
  <si>
    <t>V rámci této dlažby budou umístěna svítidla nasvětlující fasádu budovy. Svítidla budou kotvena do ocelových kotev upevněných do žulových desek i podkladního betonu.</t>
  </si>
  <si>
    <t>221</t>
  </si>
  <si>
    <t>33_9_</t>
  </si>
  <si>
    <t>222</t>
  </si>
  <si>
    <t>Kamenivo drcené frakce 0-8, tl. 60 mm; 1,65 t/m3 x 2,4 m3</t>
  </si>
  <si>
    <t>33_Z_</t>
  </si>
  <si>
    <t>223</t>
  </si>
  <si>
    <t>Řezaná deska - žula béžové barvy, d. 400 x š. 400 x tl. 50 mm, 38 m2 + 5% ztratné; vč. dopravy a vykládky</t>
  </si>
  <si>
    <t>224</t>
  </si>
  <si>
    <t>225</t>
  </si>
  <si>
    <t>Flexibilní vodovzdorná spárovací hmota (cca 0,4 kg/m2 x 38 m2)</t>
  </si>
  <si>
    <t>K-Tp21: Drobné žulové kostky ve vodním prvku</t>
  </si>
  <si>
    <t>226</t>
  </si>
  <si>
    <t>59121561R</t>
  </si>
  <si>
    <t>Kladení dlažby, kostky 60x60x40 mm, na sucho do konstrukce vodního prvku</t>
  </si>
  <si>
    <t>34_5_</t>
  </si>
  <si>
    <t>34_</t>
  </si>
  <si>
    <t>- vyklínování dlažby krajními díly, jenž budou řezány přesně na míru při realizaci - tak, aby byly kostky v konstrukci pevně zafixovány a nemohlo dojít k jejich uvolnění</t>
  </si>
  <si>
    <t>227</t>
  </si>
  <si>
    <t>34_9_</t>
  </si>
  <si>
    <t>228</t>
  </si>
  <si>
    <t>583800R</t>
  </si>
  <si>
    <t>Kostka dlažební béžové barvy, 6/6 štípaná (1t = 7 m2); vč. dopravy a vykládky</t>
  </si>
  <si>
    <t>34_Z_</t>
  </si>
  <si>
    <t>K-Tp22: Štěrková drenáž doplněná žulovými kostkami</t>
  </si>
  <si>
    <t>229</t>
  </si>
  <si>
    <t>Odkopávky při pozemkové úpravě nezapaž. (28,7 m2 x hl. 0,65 m)</t>
  </si>
  <si>
    <t>35_1_</t>
  </si>
  <si>
    <t>35_</t>
  </si>
  <si>
    <t>230</t>
  </si>
  <si>
    <t>231</t>
  </si>
  <si>
    <t>Vodorovné přemístění výkopku z hor.1-4 do 20000 m, vč. naložení na dopr. prostředek do 12 t a složení (18,7 m3 x koef. nakypření 1,22)</t>
  </si>
  <si>
    <t>232</t>
  </si>
  <si>
    <t>233</t>
  </si>
  <si>
    <t>35_5_</t>
  </si>
  <si>
    <t>- drcené kamenivo fr. 16-32 (drenážní vrstva): 28,7 m2 x 0,5 m x 1,05 koef. nakypření = 15,1 m3</t>
  </si>
  <si>
    <t>234</t>
  </si>
  <si>
    <t>Předpokládaná vzdálenost z lomu tam a zpět: 90 km
Maximální hmotnost převáženého materiálu/t: 7
= celkový počet t: 28 t/7 t = 4 potřebné vlečky x 90 km</t>
  </si>
  <si>
    <t>235</t>
  </si>
  <si>
    <t>568111111R00</t>
  </si>
  <si>
    <t>Zřízení vrstvy z geotextilie 200g/m2</t>
  </si>
  <si>
    <t>236</t>
  </si>
  <si>
    <t>Kladení dlažby malé kostky, lože z kamen.tl. 5 cm, vč. dodání materiálu pro lože a výplň spár (kamenivo fr. 4-8)</t>
  </si>
  <si>
    <t>237</t>
  </si>
  <si>
    <t>35_9_</t>
  </si>
  <si>
    <t>238</t>
  </si>
  <si>
    <t>Kamenivo drcené frakce 16/32, tl. 500 mm; 1,85 t/m3 x 15,1 m3</t>
  </si>
  <si>
    <t>35_Z_</t>
  </si>
  <si>
    <t>239</t>
  </si>
  <si>
    <t>69370560</t>
  </si>
  <si>
    <t>Geotextilie 200 g/m2 (28,7 m2 + 10% překryv)</t>
  </si>
  <si>
    <t>240</t>
  </si>
  <si>
    <t>3457115970</t>
  </si>
  <si>
    <t>Trubka drenážní, prům. 50 mm (na dně výkopu v intervalu 2 m) - odvádění vody skrz zdivo (prostup nopovou fólií) k patě zídky; vč. zátek a montáže</t>
  </si>
  <si>
    <t>241</t>
  </si>
  <si>
    <t>Mobiliář</t>
  </si>
  <si>
    <t>242</t>
  </si>
  <si>
    <t>74910387R</t>
  </si>
  <si>
    <t>Lavička parková s opěradlem bez područek, materiál: kov, akát; vč. dodávky a instalace</t>
  </si>
  <si>
    <t>36_Z_</t>
  </si>
  <si>
    <t>36_</t>
  </si>
  <si>
    <t>Konstrukce: ohýbaný plech - ocel, žárový zinek + RAL komaxitová barva
Sedák: lamely z masivu 44/25 mm - akát + olejová úprava, barva přírodní</t>
  </si>
  <si>
    <t>243</t>
  </si>
  <si>
    <t>Sedátko s opěradlem bez područek, materiál: kov, akát; vč. dodávky a instalace</t>
  </si>
  <si>
    <t>Konstrukce: ohýbaný plech - ocel, žárový zinek + RAL komaxitová barva
Sedák: lamely z masivu 44/25 mm - akát + olejová úprava, barva přírodní
Šířka: 600 mm</t>
  </si>
  <si>
    <t>043027R</t>
  </si>
  <si>
    <t>Odpadkový koš se stříškou, 2 nohy, objem 45 l, materiál: kov, akát; vč. dodávky a instalace</t>
  </si>
  <si>
    <t>Konstrukce + stříška: ocel, žárový zinek
Opláštění: akátové lamely
Plastová nádoba</t>
  </si>
  <si>
    <t>Celkem:</t>
  </si>
  <si>
    <t>Příloha slouží jako podklad pro nacenění položky č. 119 (963022R - Rekonstrukce schodiště dle restaurátorského záměru). Výsledek je třeba uvést jako cenu příslušné položky v listu Stavební rozpočet.</t>
  </si>
  <si>
    <t>Výkaz výměr - Restaurování schodiště Strakovy akademie</t>
  </si>
  <si>
    <t>Č. položky</t>
  </si>
  <si>
    <t>Název</t>
  </si>
  <si>
    <t>Počet m. j.</t>
  </si>
  <si>
    <t>Cena celkem</t>
  </si>
  <si>
    <t>restaurátorský průzkum salinity</t>
  </si>
  <si>
    <t>kpl</t>
  </si>
  <si>
    <t>zaměření, očíslování, demontáž schodiště</t>
  </si>
  <si>
    <t>sanace základu (příp. nový základ)</t>
  </si>
  <si>
    <t>10 m3</t>
  </si>
  <si>
    <t>zpětné osazení stupňů</t>
  </si>
  <si>
    <t>omytí, očištění</t>
  </si>
  <si>
    <t>32 m2</t>
  </si>
  <si>
    <t>případné odsolení cca</t>
  </si>
  <si>
    <t>5 m2</t>
  </si>
  <si>
    <t>plastické doplnění</t>
  </si>
  <si>
    <t>přespárování</t>
  </si>
  <si>
    <t>preventivní biocidní ošetření</t>
  </si>
  <si>
    <t>hydrofobizace</t>
  </si>
  <si>
    <t>zpětné osazení kov. příchytek</t>
  </si>
  <si>
    <t>restaurátorská zpráva</t>
  </si>
  <si>
    <t>CELKEM</t>
  </si>
  <si>
    <t>SO 02 - Zeleň</t>
  </si>
  <si>
    <t>Úpravy zahrady Strakovy akademie</t>
  </si>
  <si>
    <t>Ing. Aneta Dalajková</t>
  </si>
  <si>
    <t>Kácení a ošetření dřevin</t>
  </si>
  <si>
    <t>01</t>
  </si>
  <si>
    <t>111201101R00</t>
  </si>
  <si>
    <t>Odstranění keřů i s kořeny na ploše do 1000 m2</t>
  </si>
  <si>
    <t>01_1_</t>
  </si>
  <si>
    <t>01_</t>
  </si>
  <si>
    <t>112VD</t>
  </si>
  <si>
    <t>Odstranění dřevin</t>
  </si>
  <si>
    <t>184806114R00</t>
  </si>
  <si>
    <t>Zdravotní řez stromů</t>
  </si>
  <si>
    <t>112VD_</t>
  </si>
  <si>
    <t>162301501R00</t>
  </si>
  <si>
    <t>Vodorovné přemístění křovin do  5000 m</t>
  </si>
  <si>
    <t>Konstrukce ze zemin</t>
  </si>
  <si>
    <t>174201201R00</t>
  </si>
  <si>
    <t>Zásyp jam po pařezech D 30 cm</t>
  </si>
  <si>
    <t>soliterní keře 43ks
skupiny keřů, živé ploty 131m2 - přibližně 655 ks ( 5ks/m2)</t>
  </si>
  <si>
    <t>10364200</t>
  </si>
  <si>
    <t>Zemina pro zásyp jam</t>
  </si>
  <si>
    <t>01_9_</t>
  </si>
  <si>
    <t>soliterní keře 43ks x 0,25m3 = 10,75m3
živé ploty 131m2 x 0,15m = 19,6m3</t>
  </si>
  <si>
    <t>zemina na zásyp jam v rámci staveniště</t>
  </si>
  <si>
    <t>979087007R00</t>
  </si>
  <si>
    <t>Odvoz na skládku dřeva do 5 km</t>
  </si>
  <si>
    <t>keře 0,79m3
ořez větví po ošetření stromů 0,32 m3</t>
  </si>
  <si>
    <t>Poplatek za skladku</t>
  </si>
  <si>
    <t>keře 0,79t
ořez větví po ošetření stromů 0,32m3
=1,1m3*925kg/m3/1000t</t>
  </si>
  <si>
    <t>184VD</t>
  </si>
  <si>
    <t>Plochy a úprava území</t>
  </si>
  <si>
    <t>184 002VD</t>
  </si>
  <si>
    <t>Chemický rozbor půdy</t>
  </si>
  <si>
    <t>184VD_</t>
  </si>
  <si>
    <t>Výsadba stromů a vzrostlých keřů</t>
  </si>
  <si>
    <t>Pěstební opatření</t>
  </si>
  <si>
    <t>111_300VD</t>
  </si>
  <si>
    <t>Vytýčení výsadeb</t>
  </si>
  <si>
    <t>111_</t>
  </si>
  <si>
    <t>Povrchové úpravy terénu</t>
  </si>
  <si>
    <t>184801121R00</t>
  </si>
  <si>
    <t>Ošetřování vysazovaných dřevin soliterních, v rovině, vč.odvozu odstraněných částí</t>
  </si>
  <si>
    <t>183101322R00</t>
  </si>
  <si>
    <t>Hloub. jamek s výměnou 100% půdy do 2 m3 sv.1:5</t>
  </si>
  <si>
    <t>183101321R00</t>
  </si>
  <si>
    <t>Hloub. jamek s výměnou 100% půdy do 1 m3 sv.1:5</t>
  </si>
  <si>
    <t>183101315R00</t>
  </si>
  <si>
    <t>Hloub. jamek s výměnou 100% půdy do 0,4 m3 sv.1:5</t>
  </si>
  <si>
    <t>184102118R00</t>
  </si>
  <si>
    <t>Výsadba dřevin s balem D do 1,2 m, v rovině, vč. zálivky</t>
  </si>
  <si>
    <t>184102117R00</t>
  </si>
  <si>
    <t>Výsadba dřevin s balem D do 1 m, v rovině, vč. zálivky</t>
  </si>
  <si>
    <t>184102116R00</t>
  </si>
  <si>
    <t>Výsadba dřevin s balem D do 80 cm, v rovině, vč. zálivky</t>
  </si>
  <si>
    <t>184 21-5212VD</t>
  </si>
  <si>
    <t>Ukotvení dřeviny podzemním kotvením do volné zeminy tř.1-4, obvodu kmene 250-400mm</t>
  </si>
  <si>
    <t>184215411VD</t>
  </si>
  <si>
    <t>Zhotovení závlahové mísy o průměru kmene do 0,5m (mocnost mulče 10 cm)</t>
  </si>
  <si>
    <t>185851121</t>
  </si>
  <si>
    <t>Dovoz vody pro zálivku rostlin (0,1m3/strom) do 1000 m</t>
  </si>
  <si>
    <t>RTS II / 2013</t>
  </si>
  <si>
    <t>Dovoz materiálu pro výsadbu stromů vozidlem s nákladem do 12 t, poplatek za 1 km</t>
  </si>
  <si>
    <t>03_5_</t>
  </si>
  <si>
    <t>Předpokládaná vzdálenost tam a zpět: 90 km
Maximální hmotnost převáženého materiálu/t: 7
= celkový počet substrátu t: 19,2 t/7 t = 3 potřebných vleček x 90 km</t>
  </si>
  <si>
    <t>003-003VD</t>
  </si>
  <si>
    <t>KSB-Z2 - kotvení za bal ve volné půdě, strom OK 20-40, výška 5-8m, vč. dovozu</t>
  </si>
  <si>
    <t>03_Z_</t>
  </si>
  <si>
    <t>10391505.A</t>
  </si>
  <si>
    <t>Fyzikální půdní kondicionér se zásobou dlouhodobě působícího hnojiva po 20 kg (1,5kg/m3 růstového média), vč. aplikace</t>
  </si>
  <si>
    <t>111_33VD</t>
  </si>
  <si>
    <t>Magnolia soulangeana, vícekmen, 350-400, ZB, vč.dovozu</t>
  </si>
  <si>
    <t>Magnolia stellata, vícekmen, 125-150, ZB, vč.dovozu</t>
  </si>
  <si>
    <t>Tilia sp. OK 20-25, ZB, deštníkovitý tvar, vč.dovozu</t>
  </si>
  <si>
    <t>111_08VD</t>
  </si>
  <si>
    <t>Taxus baccata - zapěstovaný do tvaru koule,v 100 cm, ZB, vč.dovozu</t>
  </si>
  <si>
    <t>10391100</t>
  </si>
  <si>
    <t>Kůra mulčovací VL, vč. dovozu</t>
  </si>
  <si>
    <t>10ks x 3,5m2 x 0,1m</t>
  </si>
  <si>
    <t>08231320</t>
  </si>
  <si>
    <t>Voda pro zálivku (0,1m3/ks)</t>
  </si>
  <si>
    <t>888_002VD</t>
  </si>
  <si>
    <t>Strukturní substrát  - kvalitní bezplevelná ornice 30%, rašelina 20%, drcené kamenivo fr. 16/32 50%, vč.5% sléhavosti</t>
  </si>
  <si>
    <t>8ks x 0,2m3 = 1,6m3
12ks x 0,5m3 = 6m3
2ks x 1m3 = 2m3</t>
  </si>
  <si>
    <t>Výsadba keřů a trvalek</t>
  </si>
  <si>
    <t>184802111R00</t>
  </si>
  <si>
    <t>Chem. odplevelení před založ. postřikem</t>
  </si>
  <si>
    <t>parterové záhony 460m2
záhony keřů a trvalek 524m2</t>
  </si>
  <si>
    <t>111105111R00</t>
  </si>
  <si>
    <t>Odstranění stařiny odvoz 20 km, na svahu do 1:5 (organ.zbytky a odpady, mocnost 0,03m)</t>
  </si>
  <si>
    <t>121100001RAB</t>
  </si>
  <si>
    <t>Sejmutí ornice, naložení, odvoz a uložení ( hloubka 0,12 m, vč. koef.1,22 nakypření)</t>
  </si>
  <si>
    <t>984m2 x 0,12m = 118m3 x 1,22 = 144m3
Se zvláštní opatrností v oblasti kořenového prostoru vzrostlých stromů, provedeno za autorského dozoru.</t>
  </si>
  <si>
    <t>122100010RAC</t>
  </si>
  <si>
    <t>Odkopávky nezapažené v hornině 1-4, naložení, odvoz 10 km, uložení  (podorničí - mocnost 0,25 m, vč. koef. sléhavosti 1,22)</t>
  </si>
  <si>
    <t>984m2 x 0,25m = 246m3 x 1,22 = 300m3
Se zvláštní opatrností v oblasti kořenového prostoru vzrostlých stromů, provedeno za autorského dozoru.</t>
  </si>
  <si>
    <t>183402111R00</t>
  </si>
  <si>
    <t>Rozrušení půdy do 15 cm v rovině/svah 1:5</t>
  </si>
  <si>
    <t>Se zvláštní opatrností v oblasti kořenového prostoru vzrostlých stromů, provedeno za autorského dozoru.</t>
  </si>
  <si>
    <t>182001131R00</t>
  </si>
  <si>
    <t>Plošná úprava terénu, nerovnosti do 20 cm v rovině</t>
  </si>
  <si>
    <t>631571003R00</t>
  </si>
  <si>
    <t>Násyp ze štěrku 8-16, tl.5 cm, vč. materiálu</t>
  </si>
  <si>
    <t>181006111R00</t>
  </si>
  <si>
    <t>Rozprostření štěrku v rov./sklonu 1:5, tl. do 10 cm</t>
  </si>
  <si>
    <t>182001151R00</t>
  </si>
  <si>
    <t>Prokypření půdy a promísení jednotlivých složek rotavátorem</t>
  </si>
  <si>
    <t>460120081R00</t>
  </si>
  <si>
    <t>Násyp substrátu (984 m2 x 0,3 x 1,05 (koef.sléhavosti))</t>
  </si>
  <si>
    <t>181301105R00</t>
  </si>
  <si>
    <t>Rozprostření substrátu, rovina, tl. 30 cm</t>
  </si>
  <si>
    <t>183205111R00</t>
  </si>
  <si>
    <t>Založení záhonu v rovině</t>
  </si>
  <si>
    <t>183101111R00</t>
  </si>
  <si>
    <t>Hloub. jamek bez výměny půdy do 0,01 m3, svah 1:5</t>
  </si>
  <si>
    <t xml:space="preserve">záhony trvalek a keřů - trvalek - 856 ks
                                        - keře - 1288+116=1404 ks
parterové záhony - trvalky - 2525 ks
                              - keře - 20+360=380 ks
                              - cibule - 13 065 ks
</t>
  </si>
  <si>
    <t>184102111R00</t>
  </si>
  <si>
    <t>Výsadba dřevin s balem D do 20 cm, v rovině, vč. zálivky</t>
  </si>
  <si>
    <t>záhony trvalek a keřů - 1404 ks
parterové záhony - 380 ks</t>
  </si>
  <si>
    <t>183204115R00</t>
  </si>
  <si>
    <t>Výsadba květin hrnkovaných, květináč do 12 cm, vč. zálivky</t>
  </si>
  <si>
    <t>záhony trvalek a keřů - 856 ks
parterové záhony - 2525 ks</t>
  </si>
  <si>
    <t>183204113R00</t>
  </si>
  <si>
    <t>Výsadba cibulí nebo hlíz</t>
  </si>
  <si>
    <t>184921093R00</t>
  </si>
  <si>
    <t>Mulčování rostlin mulčovací kůrou tl. 5cm rovina, jemně mletá</t>
  </si>
  <si>
    <t>záhony trvalek a keřů - 524 m2
parterové záhony - 460 m2</t>
  </si>
  <si>
    <t>Dovoz vody pro zálivku rostlin (0,04m3/m2) do 1000 m</t>
  </si>
  <si>
    <t>Dovoz materiálu pro podkladní vrstvy na staveniště vozidlem s nákladem do 12 t, poplatek za 1 km</t>
  </si>
  <si>
    <t>04_5_</t>
  </si>
  <si>
    <t>Předpokládaná vzdálenost tam a zpět: 90 km
Maximální hmotnost převáženého materiálu/t: 7
= celkový počet t štěrk fr.8-16: 90 t/7 t = 13 potřebných vleček x 90 km = 1170 km
= celkový počet t substrát: 186 t/7 t = 27 potřebných vleček x 90 km = 2430 km</t>
  </si>
  <si>
    <t>Kůra mulčovací VL, jemně mletá, vč. dovozu</t>
  </si>
  <si>
    <t>04_Z_</t>
  </si>
  <si>
    <t>984 m2 x 0,05m</t>
  </si>
  <si>
    <t>2221VD</t>
  </si>
  <si>
    <t>Totální systémový herbicid na bázi glyfosátu (0,0005 l/m2)</t>
  </si>
  <si>
    <t>l</t>
  </si>
  <si>
    <t>0,0005*984</t>
  </si>
  <si>
    <t>10371500</t>
  </si>
  <si>
    <t>Výsadbový substrát ( 984 m2 x 0,3 m x 1,05 (koef. sléhavosti))</t>
  </si>
  <si>
    <t>Struktura: velmi hrubá - vláknitá
Borkovaná bílá rašelina: 50 %
Rašelinová vlákna: 20 %
Černá rašelina přesátá od prachu: 30 % 
Jíl: 90 kg/m3
Hnojiva--------------------------------------------
Mikroprvky: 100 g/m3
Smáčedla: 300ml/m3
Startovací NPK hnojivo (21-7-14) 0.80 kg/m3 
Trojitý superfosfát: 200 g/m3 
Rohovina: 2 kg/m3 
Hrubě mletý vápenec: 0.70 kg/m3 
pH-hodnota (CaCl2): 5,3 až 6,1</t>
  </si>
  <si>
    <t>111_15VD</t>
  </si>
  <si>
    <t>Růže na kmínku, 10l, vč.dovozu</t>
  </si>
  <si>
    <t>111_09VD</t>
  </si>
  <si>
    <t>Růže půdopokryvná a mnohokvětá, 2l, vč.dovozu</t>
  </si>
  <si>
    <t>záhony trvalek a keřů - 65 ks
parterové záhony - 360 ks</t>
  </si>
  <si>
    <t>Keře, v.30-40 - průměrná cena, vč.dovozu</t>
  </si>
  <si>
    <t>záhony trvalek a keřů - 1288+116</t>
  </si>
  <si>
    <t>Trvalky, k12 - průměrná cena, vč.dovozu</t>
  </si>
  <si>
    <t>111_07VD</t>
  </si>
  <si>
    <t>Cibuloviny velké (průměrná cena) - specifikace viz příloha, vč.dovozu</t>
  </si>
  <si>
    <t>Cibuloviny malé (průměrná cena) - specifikace viz příloha, vč.dovozu</t>
  </si>
  <si>
    <t>Voda pro zálivku (0,04 m3/m2)</t>
  </si>
  <si>
    <t>Výsadba živých plotů</t>
  </si>
  <si>
    <t>živý plot výšky 2m, trojspon 5m2
živý plot výšky 1,2m, trojspon 311m2
živý plůtek výšky 0,35m, řada 68m2
živý plůtek výšky 0,35m, trojspon 44m2</t>
  </si>
  <si>
    <t>Odstranění stařiny odvoz 20 km, na svahu do 1:5</t>
  </si>
  <si>
    <t>183205121R00</t>
  </si>
  <si>
    <t>183101212R00</t>
  </si>
  <si>
    <t>Hloub. jamek s výměnou 50% půdy do 0,02 m3, 1:5</t>
  </si>
  <si>
    <t>živý plot výšky 2m, trojspon 24ks
živý plot výšky 1,2m, trojspon 1497ks</t>
  </si>
  <si>
    <t>183101211R00</t>
  </si>
  <si>
    <t>Hloub. jamek s výměnou 50% půdy do 0,01 m3, 1:5</t>
  </si>
  <si>
    <t>živý plůtek výšky 0,3m, řada 687ks
živý plůtek výšky 0,3m, trojspon 313ks</t>
  </si>
  <si>
    <t>184102112R00</t>
  </si>
  <si>
    <t>Výsadba dřevin s balem D do 30 cm, v rovině</t>
  </si>
  <si>
    <t>Výsadba dřevin s balem D do 20 cm, v rovině</t>
  </si>
  <si>
    <t>Mulčování rostlin mulčovací kůrou tl. 5cm rovina</t>
  </si>
  <si>
    <t>200VD</t>
  </si>
  <si>
    <t>R-položky</t>
  </si>
  <si>
    <t>200_016VD</t>
  </si>
  <si>
    <t>Pokládka ocelového lemu záhonů, vč.ohýbání a svařování dílů, zatlučení a přivařování roxorů</t>
  </si>
  <si>
    <t>200VD_</t>
  </si>
  <si>
    <t>05_2_</t>
  </si>
  <si>
    <t>05_5_</t>
  </si>
  <si>
    <t>Předpokládaná vzdálenost tam a zpět: 90 km
Maximální hmotnost převáženého materiálu/t: 7
= celkový počet t substrát: 12 t/7 t = 2 potřebných vleček x 90 km = 180 km</t>
  </si>
  <si>
    <t>Kůra mulčovací VL,jemně ,mletá</t>
  </si>
  <si>
    <t>05_Z_</t>
  </si>
  <si>
    <t>428*0,05</t>
  </si>
  <si>
    <t>Carpinus betulus - zapěstovaný do živého plotu,v 200 cm, ZB, vč.dovozu</t>
  </si>
  <si>
    <t>Carpinus betulus - zapěstovaný do živého plotu,v 120 cm, ZB, vč.dovozu</t>
  </si>
  <si>
    <t>Taxus cuspidata ´Nana´,v 20-30, 2l, vč.dovozu</t>
  </si>
  <si>
    <t>111_210VD</t>
  </si>
  <si>
    <t>Ocelová lemovka záhonu, 100 x 5 mm, v úrovni terénu,109 bm,vč.5% prořezu, vč. dovozu</t>
  </si>
  <si>
    <t>111_211VD</t>
  </si>
  <si>
    <t>Roxor ocelový k ukotvení lemovky (12mm průměr, 1ks k ukotvení=500mm, délka 119m, 2ks/bm), vč.dovozu</t>
  </si>
  <si>
    <t>Voda pro zálivku</t>
  </si>
  <si>
    <t>Substrát zahradnický</t>
  </si>
  <si>
    <t>Založení parterového retenčního trávníku výsevem</t>
  </si>
  <si>
    <t>185804312R00</t>
  </si>
  <si>
    <t>Zalití trávníku vodou (0,02 m3/m2)</t>
  </si>
  <si>
    <t>Dovoz vody pro zálivku (0,02 m3/m2) do 1000 m</t>
  </si>
  <si>
    <t>06_Z_</t>
  </si>
  <si>
    <t>Založení parkového trávníku výsevem</t>
  </si>
  <si>
    <t>Chem. odplevelení před založ. postřikem, v rovině</t>
  </si>
  <si>
    <t>Se zvláštní opatrností v oblasti kořenového prostoru vzrostlých stromů.</t>
  </si>
  <si>
    <t>182001111R00</t>
  </si>
  <si>
    <t>Plošná úprava terénu, nerovnosti do 10 cm v rovině</t>
  </si>
  <si>
    <t>183403113R00</t>
  </si>
  <si>
    <t>Obdělání půdy frézováním v rovině - 2x</t>
  </si>
  <si>
    <t>183403153R00</t>
  </si>
  <si>
    <t>Obdělání půdy hrabáním v rovině - 2x</t>
  </si>
  <si>
    <t>180402111R00</t>
  </si>
  <si>
    <t>Založení trávníku parkového výsevem v rovině včetně utažení</t>
  </si>
  <si>
    <t>111116VD</t>
  </si>
  <si>
    <t>Travní směs 0,025kg/m2</t>
  </si>
  <si>
    <t>07_Z_</t>
  </si>
  <si>
    <t>111_11VD</t>
  </si>
  <si>
    <t>Dlouhodobě působící granulované trávníkové hnojivo (0,03kg/m2), vč.aplikace</t>
  </si>
  <si>
    <t>Regenerace stávajícího trávníku</t>
  </si>
  <si>
    <t>183405312R00</t>
  </si>
  <si>
    <t>Aerifikace trávníku s pískováním,plocha nad 1500m2 (2021 m2/10000)</t>
  </si>
  <si>
    <t>ha</t>
  </si>
  <si>
    <t>183406214R00</t>
  </si>
  <si>
    <t>Vertikutace trávníku s přísevem, ploch nad 1500 m2, vč. odvozu</t>
  </si>
  <si>
    <t>Zalití trávníku vodou plochy (0,02 m3/m2)</t>
  </si>
  <si>
    <t>Travní směs regenerační, 0,015kg/m2</t>
  </si>
  <si>
    <t>09_Z_</t>
  </si>
  <si>
    <t>111_03VD</t>
  </si>
  <si>
    <t>Komplexní NPK hnojivo s postupným uvolňováním (0,025kg/m2), vč aplikace</t>
  </si>
  <si>
    <t>58152600</t>
  </si>
  <si>
    <t>Křemičitý písek fr.0,25/2 (11m3 x 1,7t)</t>
  </si>
  <si>
    <t>Ornamenty</t>
  </si>
  <si>
    <t>10_1_</t>
  </si>
  <si>
    <t>10_</t>
  </si>
  <si>
    <t>Sejmutí ornice, naložení, odvoz a uložení (hloubka 0,09 m, vč. koef. sléhavosti 1,22)</t>
  </si>
  <si>
    <t>564811111RT2</t>
  </si>
  <si>
    <t>Podklad ze štěrkodrti fr. 16/32, po zhutnění tloušťky 5 cm, vč.materiálu</t>
  </si>
  <si>
    <t>460650015RT1</t>
  </si>
  <si>
    <t>Podkladová vrstva z písku fr. 2/4, po zhutnění tloušťky 1cm, vč.materiálu</t>
  </si>
  <si>
    <t>568311111R00</t>
  </si>
  <si>
    <t>Položení voštinové rohože skl.do 1:5, š. do 3 m</t>
  </si>
  <si>
    <t>(vč. řezání a úprav)</t>
  </si>
  <si>
    <t>Násyp ze štěrku 8-16, tl.3 cm, vč. materiálu</t>
  </si>
  <si>
    <t>10_5_</t>
  </si>
  <si>
    <t xml:space="preserve">Předpokládaná vzdálenost tam a zpět: 90 km
Maximální hmotnost převáženého materiálu/t: 7
= celkový počet t štěrkodrť fr.16-32: 69 t/7 t = 10 potřebných vleček x 90 km = 900 km
= celkový počet t písek fr.2-4: 9,3 t/7 t = 2 potřebných vleček x 90 km = 180 km
</t>
  </si>
  <si>
    <t>10_9_</t>
  </si>
  <si>
    <t>Ocelová lemovka záhonu, 100 x 5 mm, v úrovni terénu,955 bm,vč.5% prořezu</t>
  </si>
  <si>
    <t>10_Z_</t>
  </si>
  <si>
    <t>Roxor ocelový k ukotvení lemovky (12mm průměr, 1ks k ukotvení=500mm, délka 955 m, 2ks/bm)</t>
  </si>
  <si>
    <t>28324471</t>
  </si>
  <si>
    <t>Rohož voštinová PP NIDAGRAVEL 129  1200x800x30 mm, vč. 20% prořezu</t>
  </si>
  <si>
    <t>Tomáš Vlček</t>
  </si>
  <si>
    <r>
      <t xml:space="preserve">Provozní vlivy </t>
    </r>
    <r>
      <rPr>
        <sz val="11"/>
        <color rgb="FF000000"/>
        <rFont val="Arial"/>
        <family val="2"/>
      </rPr>
      <t>(ztížený pohyb vozidel v centrech měst; areál se zvláštním režimem přístupu a pohybu osob - max. 1 % ze ZRN)</t>
    </r>
  </si>
  <si>
    <t>0,00</t>
  </si>
  <si>
    <t>Položkový výpis prací- závlahový systém</t>
  </si>
  <si>
    <t>Akce:</t>
  </si>
  <si>
    <t>STRAKOVA AKADEMIE</t>
  </si>
  <si>
    <t>Název položky:</t>
  </si>
  <si>
    <t>PŘÍLOHA B</t>
  </si>
  <si>
    <t>Poř.</t>
  </si>
  <si>
    <t>Popis</t>
  </si>
  <si>
    <t>množství</t>
  </si>
  <si>
    <t>J.c. dodávka</t>
  </si>
  <si>
    <t>J.c. montáž</t>
  </si>
  <si>
    <t>Cena</t>
  </si>
  <si>
    <t>001</t>
  </si>
  <si>
    <t>ZVL</t>
  </si>
  <si>
    <t>ZÁVLAHOVÝ SYSTÉM</t>
  </si>
  <si>
    <t>Bourací práce a deinstalace</t>
  </si>
  <si>
    <t>Vybourání stávajících šachet - zděných s betonovoým základkem</t>
  </si>
  <si>
    <r>
      <t>m</t>
    </r>
    <r>
      <rPr>
        <vertAlign val="superscript"/>
        <sz val="9"/>
        <rFont val="Arial"/>
        <family val="2"/>
      </rPr>
      <t>3</t>
    </r>
  </si>
  <si>
    <t>= 10*1,2*0,9*0,5-10*0,8*0,6*0,3</t>
  </si>
  <si>
    <t>Vybourání otvoru v podlaze</t>
  </si>
  <si>
    <t>= 1,3*0,59*0,75</t>
  </si>
  <si>
    <t>Odvoz suti a vybouraných hmot na skládku nebo meziskládku do 1 km se složením</t>
  </si>
  <si>
    <t>= (3,96+0,58)*1,3</t>
  </si>
  <si>
    <t>Poplatek za uložení stavebního inertního odpadu na skládce (skládkovné)</t>
  </si>
  <si>
    <t>Příplatek k odvozu suti a vybouraných hmot na skládku ZKD 1 km přes 1 km</t>
  </si>
  <si>
    <t xml:space="preserve">Demontáž a likvidace stávajících postřikovačů </t>
  </si>
  <si>
    <t>Demontáž ventilových šachet a elektromagnetickcýh ventilů</t>
  </si>
  <si>
    <t>Demontáž stávající strojovny technologie závlah</t>
  </si>
  <si>
    <t>soub</t>
  </si>
  <si>
    <t>Výkop, demontáž a odvoz na skládku stávajícího potrubí do hloubky 300 mm, včetně uzávěrů, ventilů a dalších komponent</t>
  </si>
  <si>
    <t>Stavební úpravy místnosti technologie</t>
  </si>
  <si>
    <t>Podkladní betonová deska C20/25 tl.60 mm</t>
  </si>
  <si>
    <t xml:space="preserve"> -beton zhotovený na místě</t>
  </si>
  <si>
    <t>Síť KARI 1160x160x6 mm</t>
  </si>
  <si>
    <t>Jednostranné bednění výšky 700 mm</t>
  </si>
  <si>
    <r>
      <t>m</t>
    </r>
    <r>
      <rPr>
        <vertAlign val="superscript"/>
        <sz val="9"/>
        <rFont val="Arial"/>
        <family val="2"/>
      </rPr>
      <t>2</t>
    </r>
  </si>
  <si>
    <t>Chemické kotvy M10, pozink</t>
  </si>
  <si>
    <t>Betonové zídky C20/25 tl.60 mm</t>
  </si>
  <si>
    <t>= 2*0,6*0,15*0,7</t>
  </si>
  <si>
    <t>Penetrace podkladu asfaltovou emulzí</t>
  </si>
  <si>
    <t>= (2*0,6*0,7+1*0,7)*1,2</t>
  </si>
  <si>
    <t>Natavení asfaltových pásů SBS tl.4 mm</t>
  </si>
  <si>
    <t xml:space="preserve"> -včetně napojení na stávající izolace</t>
  </si>
  <si>
    <t>Podlahová vpusť boční DN 50/95 N nerez</t>
  </si>
  <si>
    <t xml:space="preserve"> -včetně napojení na stávající rozvody potrubí PVC HT 50</t>
  </si>
  <si>
    <t xml:space="preserve"> -včetně zapravení instalačního otvoru a napojení hydroizolace</t>
  </si>
  <si>
    <t>Betonová podlaha tl.90-100 mm C20/25</t>
  </si>
  <si>
    <t>Jádrový odvrt průměru 150 mm</t>
  </si>
  <si>
    <t xml:space="preserve"> -kamenný základ šířky 1000 mm</t>
  </si>
  <si>
    <t>Jádrový odvrt průměru 130 mm</t>
  </si>
  <si>
    <t>Systémová prostupová pažnice DN/ID 125 mm s napojovacím izolačním límcem</t>
  </si>
  <si>
    <t xml:space="preserve"> -včetně napojení na hydroizolaci</t>
  </si>
  <si>
    <t>Systémová prostupová pažnice DN/ID 100 mm s napojovacím izolačním límcem</t>
  </si>
  <si>
    <t>Systémová těsníí vložka DN 125</t>
  </si>
  <si>
    <t xml:space="preserve"> -atyp dle počtu procházejících vedení</t>
  </si>
  <si>
    <t>Válcovaný profil HEB 120 - délka 2000 mm</t>
  </si>
  <si>
    <t xml:space="preserve"> -včetně napojování svary a osazení do připravených kapes</t>
  </si>
  <si>
    <t>Válcovaný profil L40/40/3 mm - délka 2500 mm</t>
  </si>
  <si>
    <t xml:space="preserve"> -včetně napojování svary</t>
  </si>
  <si>
    <t>Pásovina 180/8 - délka 6000 mm</t>
  </si>
  <si>
    <t>Svařovaný pozinkovaný pororošt 1000/1000/34 mm</t>
  </si>
  <si>
    <t>Nátěry ocelových konstrukcí</t>
  </si>
  <si>
    <t>Výkopové práce</t>
  </si>
  <si>
    <t>Výkop rýhy šířky 400 mm, hloubky do 700 mm, délky do 400 m, v třídě těžitelnosti I., písčito hlinitá zemina</t>
  </si>
  <si>
    <t>Výkop rýhy šířky 140 mm, hloubky do 350 mm, délky do 400 m, v třídě těžitelnosti I., písčito hlinitá zemina</t>
  </si>
  <si>
    <t xml:space="preserve">Podsyp a obsyp potrubí - frakce 0 - 12 mm </t>
  </si>
  <si>
    <t>= 600*0,4*0,15+2200*0,16*0,15</t>
  </si>
  <si>
    <t>Zásyp potrubí výkopkem včetně hutnění, v třídě těžitelnosti I., písčito hlinitá zemina</t>
  </si>
  <si>
    <t>= 600*0,4*0,55+2200*0,16*0,2</t>
  </si>
  <si>
    <t>Výkop pro prostupy houbky 1000 mm</t>
  </si>
  <si>
    <t xml:space="preserve"> -včetně zapravení</t>
  </si>
  <si>
    <t>Výstražná fólie bílá šířky 150 mm</t>
  </si>
  <si>
    <t>Potrubí a kabely</t>
  </si>
  <si>
    <t>Potrubí HDPE 100 PE 63x3,8 PN 10</t>
  </si>
  <si>
    <t>* m</t>
  </si>
  <si>
    <t>Potrubí HDPE 100 PE 63x3,8 PN 10, tyč 6 m</t>
  </si>
  <si>
    <t>Potrubí HDPE 100 PE 50x3,0 PN 10</t>
  </si>
  <si>
    <t>Potrubí HDPE 100 PE 40x2,4 PN 10</t>
  </si>
  <si>
    <t>Potrubí LDPE 40 PE 32x2,9 PN6</t>
  </si>
  <si>
    <t>Šoupě plastové POM nátrubní na potrubí PE63</t>
  </si>
  <si>
    <t>Soubor tvarovek</t>
  </si>
  <si>
    <t>Kabel PE 2x2,5 metráž</t>
  </si>
  <si>
    <t xml:space="preserve"> -viz TZ bod 6.1.5</t>
  </si>
  <si>
    <t>Chránička PVC KG 125 - délka 2 m</t>
  </si>
  <si>
    <t>Chránička na potrubí DN 40</t>
  </si>
  <si>
    <t>Chránička na kabely - bezešvá pozinkovaná trubka DN 25 mm</t>
  </si>
  <si>
    <t>Zemní vodič CY 1x2,5</t>
  </si>
  <si>
    <t>PVC ohebná chránička DN63</t>
  </si>
  <si>
    <t>Alu fólie extra silný, šíře 45 cm, návin 150 m, síla 17 µm</t>
  </si>
  <si>
    <t>Odvzdušňovací ventil 1"  dodávka a montáž, včetně kulového uzávěru</t>
  </si>
  <si>
    <t>Řídící jednotka a vnitřní elektroinstalace</t>
  </si>
  <si>
    <t>Říící jenotka pro DC dekodérový systém pro 100 stanic</t>
  </si>
  <si>
    <t xml:space="preserve"> -viz TZ bod 6.1.8</t>
  </si>
  <si>
    <t>Čidlo deště bezdrátové, dosah až 150 m</t>
  </si>
  <si>
    <t>Dekodér DC 1 stanicový</t>
  </si>
  <si>
    <t>Dekodér DC 2 stanicový</t>
  </si>
  <si>
    <t>Dekodér DC 4 stanicový</t>
  </si>
  <si>
    <t>Ochrana proti přepětí včetně uzemňovacího plechu, napojení na kabely PE 2x2,5 mm2, instalace vložením do země po 150 m</t>
  </si>
  <si>
    <t>Kabel CYKY-J 4x2,5 metráž</t>
  </si>
  <si>
    <t xml:space="preserve"> -včetně vložení do pozinkovaného žlabu - viz PD osvětlení</t>
  </si>
  <si>
    <t xml:space="preserve"> -včetně vložení do vlkládací lišty</t>
  </si>
  <si>
    <t xml:space="preserve">Kabel CYKY-J 3x1,5 metráž </t>
  </si>
  <si>
    <t>Sinus filtr pro frekvenční měnič 200-500 V, 8 A, IP20</t>
  </si>
  <si>
    <t>SM1E-4 Spouštěč motoru 2,5-4A</t>
  </si>
  <si>
    <t>LTN-6C-1 Jistič</t>
  </si>
  <si>
    <t>Skříň plastová 600x400x250 mm (v x š x hl) s montážním plechem a a větrací mřížkou</t>
  </si>
  <si>
    <t>Lišta vkládací 24 x 22 mm bílá LV, délka 2 m</t>
  </si>
  <si>
    <t>Elektromagnetické ventily</t>
  </si>
  <si>
    <t>Elektromagnetický ventil 1" vnější závit, cívka AC-24 V, bez regulace průtoku, pracovní tlak do 12 bar</t>
  </si>
  <si>
    <t xml:space="preserve"> -viz TZ bod 6.1.6</t>
  </si>
  <si>
    <t>Elektromagnetický ventil 1" vnější závit, cívka AC-24 V, s regulací průtoku, pracovní tlak do 12 bar</t>
  </si>
  <si>
    <t>Kulový ventil 6/4", plastový PN 10 vni</t>
  </si>
  <si>
    <t>Regulátor tlaku pro kapkovou závlahu 7,5-75,6 l/min, 2,0 bar</t>
  </si>
  <si>
    <t>Spojka redukovaná 1"x3/4" vni x vně</t>
  </si>
  <si>
    <t>Vodovzdorný konektor DBY</t>
  </si>
  <si>
    <t>T-kus FxFxM</t>
  </si>
  <si>
    <t>Koleno FxM</t>
  </si>
  <si>
    <t>Koleno FxF</t>
  </si>
  <si>
    <t>Přechodka 32x1" vni s převlečnou maticí</t>
  </si>
  <si>
    <t>Přechodka 40x1" vni s převlečnou maticí</t>
  </si>
  <si>
    <t>Závlahové prvky</t>
  </si>
  <si>
    <t>Postřikovač rozprašovací vstup 1/2", výsuv 10 cm, bez trysky s uzavíracím ventilem, který se aktivuje při poškození vsuvníku a zpětným ventilem</t>
  </si>
  <si>
    <t xml:space="preserve"> -viz TZ bod 6.1.7</t>
  </si>
  <si>
    <t>Tryska rotační, dostřik 4,0 m, 90-210°, vnější závit</t>
  </si>
  <si>
    <t>Tryska rotační, dostřik 5,5 m, 90-210°, vnější závit</t>
  </si>
  <si>
    <t>Tryska rotační, dostřik 5,5 m, 210-270°, vnější závit</t>
  </si>
  <si>
    <t>Tryska rotační, dostřik 5,5 m, 360°, vnější závit</t>
  </si>
  <si>
    <t>Tryska rotační, dostřik 8,5 m, 90-210°, vnější závit</t>
  </si>
  <si>
    <t>Tryska rotační, dostřik 8,5 m, 210-270°, vnější závit</t>
  </si>
  <si>
    <t>Tryska rotační, dostřik 4,0 m, 45-105°, vně. závit</t>
  </si>
  <si>
    <t>Tryska rotační, dostřik 1,5x4,6 m, levá výseč, vně. závit</t>
  </si>
  <si>
    <t>Tryska rotační, dostřik 1,5x4,6 m, pravá výseč, vně. závit</t>
  </si>
  <si>
    <t>Tryska rotační, dostřik 1,5x9,2 m, vně. závit</t>
  </si>
  <si>
    <t>Postřikovač rotační, vstup 3/4", výsuv 12,7 cm, nastavitelný, součástí potřikovače je sada trysek, nastavení výšeče bez nář.</t>
  </si>
  <si>
    <t>Koleno 3/4" pro napojení postřikovače</t>
  </si>
  <si>
    <t>Koleno 1/2" pro napojení postřikovače</t>
  </si>
  <si>
    <t>Samostahovací hadice 16 mm pro napojení postřikovače, klubo 30 m</t>
  </si>
  <si>
    <t xml:space="preserve"> -viz TZ bod 8.1.5</t>
  </si>
  <si>
    <t>Navrtávací pas 40x3/4"</t>
  </si>
  <si>
    <t>Navrtávací pas 32x3/4"</t>
  </si>
  <si>
    <t>Kapénková hadice 16 mm, role 100 m, bez kompenzace tlaku, rozteč otvorů 33 cm,  průtok 2 l/h</t>
  </si>
  <si>
    <t>Kapénková hadice 16 mm, role 100 m, s kompenzací tlaku, rozteč otvorů 33 cm,  průtok 2 l/h s ochranou proti prorůstání kořínků</t>
  </si>
  <si>
    <t>Soubor fitinek pro kapkovou závlahu</t>
  </si>
  <si>
    <t>Geotextílie 300g/m2, černá barva</t>
  </si>
  <si>
    <t>Plastový bodec pro připevnění hadice k půdě</t>
  </si>
  <si>
    <t>Mosazný hydrant 3/4"</t>
  </si>
  <si>
    <t>Klíč k mosaznému hydrantu 3/4"</t>
  </si>
  <si>
    <t>Přechodka 32x3/4" vně</t>
  </si>
  <si>
    <t>Filtr, zazimovací sestava</t>
  </si>
  <si>
    <t>Filtr 6/4" s mechanickým proplachem, 100 mikron DN50</t>
  </si>
  <si>
    <t xml:space="preserve"> -viz TZ bod 6.1.3</t>
  </si>
  <si>
    <t>Sestava pro zazimování</t>
  </si>
  <si>
    <t>Kulový uzávěr 6/4" , vni x vně</t>
  </si>
  <si>
    <t>Čerpadlo</t>
  </si>
  <si>
    <t xml:space="preserve">Ponorné čerpadlo pracovní bod 100 l/min při 5,5 bar, 3x400 V, 1,5 kW, kabel 20 m  </t>
  </si>
  <si>
    <t xml:space="preserve"> -viz TZ bod 6.1.2</t>
  </si>
  <si>
    <t>Kabel H07 4D1,5</t>
  </si>
  <si>
    <t>Kabelová spojka</t>
  </si>
  <si>
    <t>Mosazný přechodový kus 50 x 5/4" vně</t>
  </si>
  <si>
    <t>Mosazný zpětný ventil 5/4" vni</t>
  </si>
  <si>
    <t>Koleno 50</t>
  </si>
  <si>
    <t>Expanzní nádoba 50 l, stojatá</t>
  </si>
  <si>
    <t>Připojovací flexi hadice 1'x 0,7 m, s kolenem</t>
  </si>
  <si>
    <t>Mosazná pěticestná tvarovka 1"</t>
  </si>
  <si>
    <t>Mosazná zátka 1"</t>
  </si>
  <si>
    <t>Navrtávací obj. se zp. kroužkem 50x1" PN16</t>
  </si>
  <si>
    <t>Mosazná spojka 1" vně</t>
  </si>
  <si>
    <t>Manometr 0 - 10 bar, 1/4" vně</t>
  </si>
  <si>
    <t>Frekvenční měnič 2,2 kW pro 3 F čerpadla</t>
  </si>
  <si>
    <t>Soubor fitinek pro fixaci a osazení armatur</t>
  </si>
  <si>
    <t>Silonový popruh délka 15 m</t>
  </si>
  <si>
    <t>Úprava vody pro změkčování</t>
  </si>
  <si>
    <t>Automatický změkčovací filtr včetně vybavení a instalace</t>
  </si>
  <si>
    <t xml:space="preserve"> -viz TZ bod 6.1.4</t>
  </si>
  <si>
    <t>Provozní náklady - Regenerační sůl 2400 kg</t>
  </si>
  <si>
    <t>měs</t>
  </si>
  <si>
    <t>Šachty</t>
  </si>
  <si>
    <t>Ventilová šachta plastová 640x500x300 mm, zátěžová</t>
  </si>
  <si>
    <t>Ventilová šachta plastová kruhová průměr 250 mm, zátěžová</t>
  </si>
  <si>
    <t>Ventilová šachta plastová kruhová průměr 160 mm, zátěžová</t>
  </si>
  <si>
    <t>Ostatní náklady</t>
  </si>
  <si>
    <t>Tlaková zkouška potrubí</t>
  </si>
  <si>
    <t>Ostatní instalační a spotřební materiál</t>
  </si>
  <si>
    <t>Vytyčení inženýrských sítí</t>
  </si>
  <si>
    <t>Pronájem, doprava, montáž a demontáž zřízení zařízení staveniště</t>
  </si>
  <si>
    <t>Geodetické zaměření skutečného provedení - ventilové šachty, hydranty a hlavní potrubí</t>
  </si>
  <si>
    <t>Dokumentace skutečného provedení</t>
  </si>
  <si>
    <t>Zaškolení údržby</t>
  </si>
  <si>
    <t>Zkušební provoz</t>
  </si>
  <si>
    <t>Zprovoznění závlahy</t>
  </si>
  <si>
    <t>Zazimování závlahy</t>
  </si>
  <si>
    <t>Cena celkem bez DPH</t>
  </si>
  <si>
    <t>Cena celkem s DPH</t>
  </si>
  <si>
    <t>Úřad vlády České republiky, nábř. E. Beneše 128/4</t>
  </si>
  <si>
    <t>Petr Čekal</t>
  </si>
  <si>
    <t>AKCE:</t>
  </si>
  <si>
    <t xml:space="preserve">Projektová dokumentace úprav zahrady Strakovy akademie </t>
  </si>
  <si>
    <t>OBJEDNATEL:</t>
  </si>
  <si>
    <t>Česká republika - Úřad vlády České republiky, nábř. E. Beneše 128/4, Praha 1, 118 01</t>
  </si>
  <si>
    <t>DATUM:</t>
  </si>
  <si>
    <t>ČÁST PD:</t>
  </si>
  <si>
    <t>ČÁST:</t>
  </si>
  <si>
    <t>ZAHRADA + STŘECHA</t>
  </si>
  <si>
    <t>REKAPITULACE CEN</t>
  </si>
  <si>
    <t>Elektroinstalace</t>
  </si>
  <si>
    <t>Elektroinstalace - Zemní práce + chráničky pro BS</t>
  </si>
  <si>
    <t>Součet</t>
  </si>
  <si>
    <t>Celkem bez daně</t>
  </si>
  <si>
    <t>Čís.pol.</t>
  </si>
  <si>
    <t>ÚRS 2019</t>
  </si>
  <si>
    <t>Specifikace materiálu</t>
  </si>
  <si>
    <t>Jedn.</t>
  </si>
  <si>
    <t>Jednotková cena</t>
  </si>
  <si>
    <t>Cena CZK</t>
  </si>
  <si>
    <t>Kabely, vodiče vč. ukončení</t>
  </si>
  <si>
    <t>1.</t>
  </si>
  <si>
    <r>
      <t>Kabel  CYKY-J 3x1,5 mm</t>
    </r>
    <r>
      <rPr>
        <vertAlign val="superscript"/>
        <sz val="10"/>
        <color indexed="12"/>
        <rFont val="Arial"/>
        <family val="2"/>
      </rPr>
      <t>2</t>
    </r>
  </si>
  <si>
    <t>Montáž kabelů měděných bez ukončení uložených v trubkách zatažených plných kulatých nebo bezhalogenových (CYKY) počtu a průřezu žil 3x1,5 až 6 mm2</t>
  </si>
  <si>
    <r>
      <t>Kabel  CYKY-J 2x1,5 mm</t>
    </r>
    <r>
      <rPr>
        <vertAlign val="superscript"/>
        <sz val="10"/>
        <color indexed="12"/>
        <rFont val="Arial"/>
        <family val="2"/>
      </rPr>
      <t>2</t>
    </r>
    <r>
      <rPr>
        <sz val="10"/>
        <color rgb="FF0000FF"/>
        <rFont val="Arial"/>
        <family val="2"/>
      </rPr>
      <t xml:space="preserve"> (DALI)</t>
    </r>
  </si>
  <si>
    <t>Montáž kabelů měděných bez ukončení uložených v trubkách zatažených plných kulatých nebo bezhalogenových (CYKY) počtu a průřezu žil 2x1,5 až 6 mm2</t>
  </si>
  <si>
    <r>
      <t>Kabel  CYKY-J 2x2,5 mm</t>
    </r>
    <r>
      <rPr>
        <vertAlign val="superscript"/>
        <sz val="10"/>
        <color indexed="12"/>
        <rFont val="Arial"/>
        <family val="2"/>
      </rPr>
      <t>2</t>
    </r>
    <r>
      <rPr>
        <sz val="10"/>
        <color rgb="FF0000FF"/>
        <rFont val="Arial"/>
        <family val="2"/>
      </rPr>
      <t xml:space="preserve"> (DALI)</t>
    </r>
  </si>
  <si>
    <t>2.</t>
  </si>
  <si>
    <r>
      <t>Kabel  CYKY-J 3x2,5 mm</t>
    </r>
    <r>
      <rPr>
        <vertAlign val="superscript"/>
        <sz val="10"/>
        <color indexed="12"/>
        <rFont val="Arial"/>
        <family val="2"/>
      </rPr>
      <t>2</t>
    </r>
  </si>
  <si>
    <t>3.</t>
  </si>
  <si>
    <r>
      <t>Kabel  CYKY-J 3x4 mm</t>
    </r>
    <r>
      <rPr>
        <vertAlign val="superscript"/>
        <sz val="10"/>
        <color indexed="12"/>
        <rFont val="Arial"/>
        <family val="2"/>
      </rPr>
      <t>2</t>
    </r>
  </si>
  <si>
    <t>4.</t>
  </si>
  <si>
    <r>
      <t>Kabel  CYKY-J 5x1,5 mm</t>
    </r>
    <r>
      <rPr>
        <vertAlign val="superscript"/>
        <sz val="10"/>
        <color indexed="12"/>
        <rFont val="Arial"/>
        <family val="2"/>
      </rPr>
      <t>2</t>
    </r>
  </si>
  <si>
    <t>Montáž kabelů měděných bez ukončení uložených v trubkách zatažených plných kulatých nebo bezhalogenových (CYKY) počtu a průřezu žil 5x1,5 až 2,5 mm2</t>
  </si>
  <si>
    <t>5.</t>
  </si>
  <si>
    <r>
      <t>Kabel  CYKY-J 5x6 mm</t>
    </r>
    <r>
      <rPr>
        <vertAlign val="superscript"/>
        <sz val="10"/>
        <color indexed="12"/>
        <rFont val="Arial"/>
        <family val="2"/>
      </rPr>
      <t>2</t>
    </r>
  </si>
  <si>
    <t xml:space="preserve">741122143 </t>
  </si>
  <si>
    <t>Montáž kabelů měděných bez ukončení uložených v trubkách zatažených plných kulatých nebo bezhalogenových (CYKY) počtu a průřezu žil 5x4 až 6 mm2</t>
  </si>
  <si>
    <t>6.</t>
  </si>
  <si>
    <t>Kabel datový venkovní FTP CAT.5 (DMX)</t>
  </si>
  <si>
    <t>Montáž kabelů sdělovacích pro rozvody do 15 žil</t>
  </si>
  <si>
    <t>Kabel datový vnitřní UTP CAT.6 (připojení k VLAN)</t>
  </si>
  <si>
    <t>7.</t>
  </si>
  <si>
    <t>CYA 16 ZŽ Vodič H07V-K 16 ohebný zelenožlutý</t>
  </si>
  <si>
    <t>Montáž vodičů izolovaných měděných bez ukončení uložených pod omítku plných a laněných (CY), průřezu žíly 10 až 16 mm2</t>
  </si>
  <si>
    <t>Kabelové trasy</t>
  </si>
  <si>
    <t>Kabelový žlab 62x50 nerez vč. víka a příslušenství</t>
  </si>
  <si>
    <t>Montáž žlabů bez stojiny a výložníků kovových s podpěrkami a příslušenstvím bez víka, šířky do 50 mm</t>
  </si>
  <si>
    <t>Montáž žlabů bez stojiny a výložníků kovových s podpěrkami a příslušenstvím uzavření víkem</t>
  </si>
  <si>
    <t>Ocelová trubka závitová, pozinkovaná ocel , vysoká mechanická odolnost vnější pr. 47</t>
  </si>
  <si>
    <t>Montáž trubek pancéřových elektroinstalačních s nasunutím nebo našroubováním do krabic kovových tuhých závitových, uložených pevně, Ø přes 42 mm</t>
  </si>
  <si>
    <t>Chránička zemní korugovaná pr. 40, červená</t>
  </si>
  <si>
    <t>Montáž trubek ochranných s nasunutím nebo našroubováním do krabic plastových tuhých, uložených volně, vnitřního Ø do 40 mm</t>
  </si>
  <si>
    <t>Chránička zemní korugovaná pr. 50, červená</t>
  </si>
  <si>
    <t>Montáž trubek ochranných s nasunutím nebo našroubováním do krabic plastových tuhých, uložených volně, vnitřního Ø přes 40 do 90 mm</t>
  </si>
  <si>
    <t>Chránička zemní korugovaná pr. 63, červená</t>
  </si>
  <si>
    <t>Chránička zemní korugovaná pr. 75, červená</t>
  </si>
  <si>
    <t>Chránička zemní korugovaná pr. 160, červená</t>
  </si>
  <si>
    <t>Montáž trubek ochranných s nasunutím nebo našroubováním do krabic plastových tuhých, uložených volně, vnitřního Ø přes 133 do 152 mm</t>
  </si>
  <si>
    <t>8.</t>
  </si>
  <si>
    <t>Chránička zemní korugovaná pr. 200, červená</t>
  </si>
  <si>
    <t>Montáž trubek ochranných s nasunutím nebo našroubováním do krabic plastových tuhých, uložených volně, vnitřního Ø do 200 mm</t>
  </si>
  <si>
    <t>9.</t>
  </si>
  <si>
    <t>Gelová spojka materiál + montáž</t>
  </si>
  <si>
    <t>Uzemnění</t>
  </si>
  <si>
    <t>Drát FeZn prům. 10mm</t>
  </si>
  <si>
    <t>Montáž uzemňovacího vedení s upevněním, propojením a připojením pomocí svorek v zemi s izolací spojů drátu nebo lana Ø do 10 mm v městské zástavbě</t>
  </si>
  <si>
    <t>Svorka připojovací</t>
  </si>
  <si>
    <t>Montáž hromosvodného vedení svorek se 2 šrouby</t>
  </si>
  <si>
    <t>Svorka spojovací</t>
  </si>
  <si>
    <t>Barva, asfaltový nátěr pro antikorozní nátěr drátu</t>
  </si>
  <si>
    <t>Antikorozní nátěr zemn. drátu na přechodu do země</t>
  </si>
  <si>
    <t>Zásuvkové skříně vč. montáže</t>
  </si>
  <si>
    <t>Zásuvková skříň 1  v kabelové komoře - 3x zásuvka 230V</t>
  </si>
  <si>
    <t>Montáž zemní zásuvkové skříně</t>
  </si>
  <si>
    <t>Zásuvková skříň 2 v kabelové komoře - 1x zásuvka 230V + 1x zásuvka 400V vč. montáže</t>
  </si>
  <si>
    <t>Rozvaděče vč. řízení osvětlení, příslušenství a montáže</t>
  </si>
  <si>
    <t>Rozvaděč RVO1 - 1.PP - vč. řízení osvětlení + kompletace</t>
  </si>
  <si>
    <t>Poznámka k položce: specifikace viz. schéma rozvaděče RVO1, schéma řízení osvětlení a technická zpráva.</t>
  </si>
  <si>
    <t>Montáž rozváděčů skříňových nebo panelových bez zapojení vodičů dělitelných, hmotnosti jednoho pole do 200 kg</t>
  </si>
  <si>
    <t>Poznámka k položce: specifikace viz. schéma rozvaděče RVO2, schéma řízení osvětlení a technická zpráva.</t>
  </si>
  <si>
    <t>Rozvaděč RVO2 - Půda - vč. řízení osvětlení + kompletace - Rozvodnice zůstává na stávajícím místě stávající</t>
  </si>
  <si>
    <t>Rozvaděč půda - Pro Gateway - Půda - vč. vybavení + kompletace</t>
  </si>
  <si>
    <t>Montáž rozvodnic oceloplechových nebo plastových bez zapojení vodičů běžných, hmotnosti do 20 kg</t>
  </si>
  <si>
    <t>Adresace, základní nastavení a programování řízení osvětlení</t>
  </si>
  <si>
    <t>Svítidla, stožáry vč. příslušenství a recyklačních poplatků</t>
  </si>
  <si>
    <t>TYP A vč. příslušenství</t>
  </si>
  <si>
    <t>Poznámka k položce: specifikace viz. kniha svítidel a technická zpráva.</t>
  </si>
  <si>
    <t>Montáž svítidla LED, venkovní na stožár osvětlení</t>
  </si>
  <si>
    <t>TYP B vč. příslušenství</t>
  </si>
  <si>
    <t>Poznámka k položce: specifikace viz kniha svítidel a technická zpráva.</t>
  </si>
  <si>
    <t>TYP C vč. příslušenství</t>
  </si>
  <si>
    <t>Montáž svítidla LED, venkovní zemní, instalace do země</t>
  </si>
  <si>
    <t>TYP D vč. příslušenství</t>
  </si>
  <si>
    <t>Montáž svítidla LED, venkovní, instalace na podstavec</t>
  </si>
  <si>
    <t>TYP E vč. příslušenství</t>
  </si>
  <si>
    <t>TYP F vč. příslušenství</t>
  </si>
  <si>
    <t>TYP G vč. příslušenství</t>
  </si>
  <si>
    <t>Montáž svítidla LED, venkovní zemní, instalace na podstavec</t>
  </si>
  <si>
    <t>TYP H vč. příslušenství</t>
  </si>
  <si>
    <t>TYP I vč. příslušenství</t>
  </si>
  <si>
    <t>10.</t>
  </si>
  <si>
    <t>TYP J vč. příslušenství</t>
  </si>
  <si>
    <t>Montáž svítidla LED vč. sloupku se zásuvkami, venkovní instalace</t>
  </si>
  <si>
    <t>11.</t>
  </si>
  <si>
    <t>TYP K vč. příslušenství</t>
  </si>
  <si>
    <t>12.</t>
  </si>
  <si>
    <t>TYP L vč. příslušenství</t>
  </si>
  <si>
    <t>13.</t>
  </si>
  <si>
    <t>TYP M vč. příslušenství</t>
  </si>
  <si>
    <t>14.</t>
  </si>
  <si>
    <t>TYP N vč. příslušenství</t>
  </si>
  <si>
    <t>Montáž svítidla LED na slopek, vč. montáže sloupku</t>
  </si>
  <si>
    <t>15.</t>
  </si>
  <si>
    <t>Stožár pro osvětlení bezpaticový kuželový 8m/4mm/89mm RAL 7024</t>
  </si>
  <si>
    <t>Montáž stožárů osvětlení, bez zemních prací ocelových samostatně stojících, délky do 12 m</t>
  </si>
  <si>
    <t>16.</t>
  </si>
  <si>
    <t>Konzola pro svítidla na stožáru, povrchová úprava jako stožár</t>
  </si>
  <si>
    <t>Montáž výložníků osvětlení dvouramenných sloupových, hmotnosti do 70 kg</t>
  </si>
  <si>
    <t>17.</t>
  </si>
  <si>
    <t>Hliníkové vrcholové kotevní víčko s vývodkou</t>
  </si>
  <si>
    <t>Montáž vrcholového kotevního víčka</t>
  </si>
  <si>
    <t>18.</t>
  </si>
  <si>
    <t>Práce na stávajícím stožáru osvětlení (příprava pro ostatní profese pro namontování např. kamery, vlhkostního čidla, případná úprava a doplnění výstroje stožáru atd….)</t>
  </si>
  <si>
    <t>19.</t>
  </si>
  <si>
    <t>Směrování svítidel pomocí laseru</t>
  </si>
  <si>
    <t>Demontáž stávajících elektrických zařízení</t>
  </si>
  <si>
    <t>Demontáž svítidel bez zachování funkčnosti (do suti)</t>
  </si>
  <si>
    <t>Demontáž rozvodnic kovových, uložených pod omítkou, krytí přes IPx 4</t>
  </si>
  <si>
    <t>Demontáž kabelu silového z rozvodnice bez zachování funkčnosti</t>
  </si>
  <si>
    <t>Demontáž kabelu silového z rozvodnice se zachováním funkčnosti</t>
  </si>
  <si>
    <t>Demontáž stávajícího rozvaděče na povrchu</t>
  </si>
  <si>
    <t>Demontáž stávajících elektrických rozvodů</t>
  </si>
  <si>
    <t>Demontáž stávajícího zemnícího drátu FeZn 10mm</t>
  </si>
  <si>
    <t>Demontáže stávajícího zařízení elektro -  ostatní</t>
  </si>
  <si>
    <t>Zemní práce</t>
  </si>
  <si>
    <t>Beton tř. C 8/10 + příslušenství</t>
  </si>
  <si>
    <t>Základové konstrukce základ bez bednění do rostlé zeminy z monolitického betonu tř. C 8/10</t>
  </si>
  <si>
    <t>Vytyčení trasy vedení kabelového (podzemního) ve volném terénu</t>
  </si>
  <si>
    <t>Hloubení nezapažených jam ručně pro stožáry s přemístěním výkopku do vzdálenosti 3 m od okraje jámy nebo naložením na dopravní prostředek, včetně zásypu, zhutnění a urovnání povrchu bez patky jednoduché na rovině, délky přes 6 do 8 m, v hornině třídy 3</t>
  </si>
  <si>
    <t>Hloubení nezapažených kabelových rýh strojně zarovnání kabelových rýh po výkopu strojně, šířka rýhy bez zarovnání rýh šířky 35 cm, hloubky 30 cm, v hornině třídy 3</t>
  </si>
  <si>
    <t>Hloubení nezapažených kabelových rýh strojně zarovnání kabelových rýh po výkopu strojně, šířka rýhy bez zarovnání rýh šířky 35 cm, hloubky 80 cm, v hornině třídy 3</t>
  </si>
  <si>
    <t>Hloubení nezapažených kabelových rýh strojně zarovnání kabelových rýh po výkopu strojně, šířka rýhy bez zarovnání rýh šířky 50 cm, hloubky 30 cm, v hornině třídy 3</t>
  </si>
  <si>
    <t>Hloubení nezapažených kabelových rýh strojně zarovnání kabelových rýh po výkopu strojně, šířka rýhy bez zarovnání rýh šířky 50 cm, hloubky 80 cm, v hornině třídy 3</t>
  </si>
  <si>
    <t>Výstražná fólie do výkopu š. 33cm, červená</t>
  </si>
  <si>
    <t>Krytí kabelů, spojek, koncovek a odbočnic kabelů výstražnou fólií z PVC včetně vyrovnání povrchu rýhy, rozvinutí a uložení fólie do rýhy, fólie šířky do 34cm</t>
  </si>
  <si>
    <t>Kopaný písek</t>
  </si>
  <si>
    <t>Kabelové lože včetně podsypu, zhutnění a urovnání povrchu z písku nebo štěrkopísku tloušťky 5 cm nad kabel zakryté plastovou fólií, šířky lože přes 25 do 50 cm</t>
  </si>
  <si>
    <t>Zásyp kabelových rýh ručně s uložením výkopku ve vrstvách včetně zhutnění a urovnání povrchu šířky 35 cm hloubky 30 cm, v hornině třídy 3</t>
  </si>
  <si>
    <t>Zásyp kabelových rýh ručně s uložením výkopku ve vrstvách včetně zhutnění a urovnání povrchu šířky 35 cm hloubky 80 cm, v hornině třídy 3</t>
  </si>
  <si>
    <t>Zásyp kabelových rýh ručně s uložením výkopku ve vrstvách včetně zhutnění a urovnání povrchu šířky 50 cm hloubky 30 cm, v hornině třídy 3</t>
  </si>
  <si>
    <t>Zásyp kabelových rýh ručně s uložením výkopku ve vrstvách včetně zhutnění a urovnání povrchu šířky 50 cm hloubky 80 cm, v hornině třídy 3</t>
  </si>
  <si>
    <t>Přemístění (odvoz) horniny, suti a vybouraných hmot odvoz suti a vybouraných hmot do 1 km</t>
  </si>
  <si>
    <t>tun</t>
  </si>
  <si>
    <t>Přemístění (odvoz) horniny, suti a vybouraných hmot odvoz suti a vybouraných hmot  příplatek k ceně za každý další i započatý 1 km</t>
  </si>
  <si>
    <t>Úprava terénu provizorní úprava terénu včetně odkopání drobných nerovností a zásypu prohlubní se zhutněním, v hornině třídy 3</t>
  </si>
  <si>
    <t>Poplatek za uložení stavebního odpadu na skládce (skládkovné) zeminy a kameniva zatříděného do Katalogu odpadů pod kódem 170 504</t>
  </si>
  <si>
    <t>Ostatní</t>
  </si>
  <si>
    <t>Zkoušky a prohlídky elektrických rozvodů a zařízení celková prohlídka a vyhotovení revizní zprávy pro objem montážních prací přes 500 do 1000 tis. Kč</t>
  </si>
  <si>
    <t>Zkoušky a prohlídky elektrických rozvodů a zařízení celková prohlídka a vyhotovení revizní zprávy pro objem montážních prací Příplatek k ceně 0003 za každých dalších i započatých 500 tis. Kč přes 1000 tis. Kč</t>
  </si>
  <si>
    <t>Koordinace profesí</t>
  </si>
  <si>
    <t>040001000</t>
  </si>
  <si>
    <t>Inženýrská činnost</t>
  </si>
  <si>
    <t>065002000</t>
  </si>
  <si>
    <t>Mimostaveništní doprava materiálů</t>
  </si>
  <si>
    <t>Podružný materiál</t>
  </si>
  <si>
    <t>Zednické přípomoce a prostupy konstrukcemi (drážky, sekání, vrtání, bourání)</t>
  </si>
  <si>
    <t>Likvidace odpadů</t>
  </si>
  <si>
    <t>Plošina</t>
  </si>
  <si>
    <t>094002000</t>
  </si>
  <si>
    <t>Ostatní náklady související s výstavbou</t>
  </si>
  <si>
    <t>CELKEM BEZ DPH</t>
  </si>
  <si>
    <t>ZEMNÍ PRÁCE + CHRÁNIČKY - SPOLEČNÉ + SAMOSTATNÉ TRASY PRO "Rekonstrukci perimetrické ochrany objektu Strakovy akademie"</t>
  </si>
  <si>
    <t>Zemní práce - Společná trasa BS + OSVĚTLENÍ</t>
  </si>
  <si>
    <t>Hloubení zapažených i nezapažených kabelových rýh ručně včetně urovnání dna s přemístěním výkopku do vzdálenosti 3 m od okraje jámy nebo naložením na dopravní prostředek šířky 50 cm, hloubky 30 cm, v hornině třídy 3</t>
  </si>
  <si>
    <t>Hloubení zapažených i nezapažených kabelových rýh ručně včetně urovnání dna s přemístěním výkopku do vzdálenosti 3 m od okraje jámy nebo naložením na dopravní prostředek šířky 50 cm, hloubky 80 cm, v hornině třídy 3</t>
  </si>
  <si>
    <t>Zemní práce - Samostatná trasa BS</t>
  </si>
  <si>
    <t>Hloubení zapažených i nezapažených kabelových rýh ručně včetně urovnání dna s přemístěním výkopku do vzdálenosti 3 m od okraje jámy nebo naložením na dopravní prostředek šířky 35 cm, hloubky 30 cm, v hornině třídy 3</t>
  </si>
  <si>
    <t>Hloubení zapažených i nezapažených kabelových rýh ručně včetně urovnání dna s přemístěním výkopku do vzdálenosti 3 m od okraje jámy nebo naložením na dopravní prostředek šířky 35 cm, hloubky 80 cm, v hornině třídy 3</t>
  </si>
  <si>
    <t>Kabelové trasy - Společné + samostatné trasy</t>
  </si>
  <si>
    <t>Ing. Libor Loveček</t>
  </si>
  <si>
    <r>
      <t>Zařízení staveniště</t>
    </r>
    <r>
      <rPr>
        <sz val="11"/>
        <color indexed="8"/>
        <rFont val="Arial"/>
        <family val="2"/>
      </rPr>
      <t xml:space="preserve">   (max. 1,5 % ze ZRN)</t>
    </r>
  </si>
  <si>
    <t>Kompletační činnost (max. 1,0 % ze ZRN)</t>
  </si>
  <si>
    <t>Výkaz výměr</t>
  </si>
  <si>
    <t>Stavba :</t>
  </si>
  <si>
    <t xml:space="preserve">Projektová dokumentace úprav zahrady Strakovy akademie 
</t>
  </si>
  <si>
    <t>Objekt :</t>
  </si>
  <si>
    <t>SO 05 - VODNÍ PRVKY</t>
  </si>
  <si>
    <t>P.č.</t>
  </si>
  <si>
    <t>typ</t>
  </si>
  <si>
    <t>Název položky</t>
  </si>
  <si>
    <t>cena / MJ</t>
  </si>
  <si>
    <t>celkem (Kč)</t>
  </si>
  <si>
    <t>Díl:</t>
  </si>
  <si>
    <t>Hloubení nezapaž. jam hor.3 do 100 m3, STROJNĚ</t>
  </si>
  <si>
    <t>vodní prvky:2*48,43*0,65</t>
  </si>
  <si>
    <t>strojovna: 12,0*4,6*2,93</t>
  </si>
  <si>
    <t>Příplatek za lepivost - hloubení nezap.jam v hor.3</t>
  </si>
  <si>
    <t xml:space="preserve">Hloubení rýh š.do 200 cm hor.3 do 100 m3,STROJNĚ </t>
  </si>
  <si>
    <t>rozvody fontána: ((13,0+24,7)*1,0+(10,0+6,0)*0,6)*0,80</t>
  </si>
  <si>
    <t>rozvody mlžení: 169,0*0,3*0,8</t>
  </si>
  <si>
    <t>rozvody z budovy: 55,0*0,5*0,85</t>
  </si>
  <si>
    <t>rozvody přípojka kanalizace: 48,5*0,5*1,75</t>
  </si>
  <si>
    <t xml:space="preserve">Příplatek za lepivost - hloubení rýh 200cm v hor.3 </t>
  </si>
  <si>
    <t>Lože pod potrubí s dodáním písku frakce 0 - 4 mm</t>
  </si>
  <si>
    <t>rozvody fontána: ((13,0+24,7)*1,0+(10,0+6,0)*0,6)*0,10</t>
  </si>
  <si>
    <t>rozvody mlžení: 169,0*0,3*0,1</t>
  </si>
  <si>
    <t>rozvody z budovy: 55,0*0,5*0,1</t>
  </si>
  <si>
    <t>rozvody přípojka kanalizace: 48,5*0,5*0,1</t>
  </si>
  <si>
    <t>Obsyp potrubí bez prohození sypaniny s dodáním písku frakce 0 - 4 mm</t>
  </si>
  <si>
    <t xml:space="preserve">m3 </t>
  </si>
  <si>
    <t>rozvody fontána: ((13,0+24,7)*1,0+(10,0+6,0)*0,6)*0,15</t>
  </si>
  <si>
    <t>rozvody mlžení: 169,0*0,3*0,15</t>
  </si>
  <si>
    <t>rozvody z budovy: 55,0*0,5*0,15</t>
  </si>
  <si>
    <t>rozvody přípojka kanalizace: 48,5*0,5*0,15</t>
  </si>
  <si>
    <t xml:space="preserve">Zásyp jam, rýh, šachet se zhutněním </t>
  </si>
  <si>
    <t>strojovna technologie:12,0*4,6*2,93-8,05*2,62*2,93</t>
  </si>
  <si>
    <t>rozvody fontána: ((13,0+24,7)*1,0+(10,0+6,0)*0,6)*0,55</t>
  </si>
  <si>
    <t>rozvody mlžení: 169,0*0,3*0,55</t>
  </si>
  <si>
    <t>rozvody z budovy: 55,0*0,5*0,60</t>
  </si>
  <si>
    <t>rozvody přípojka kanalizace: 48,5*0,5*1,50</t>
  </si>
  <si>
    <t xml:space="preserve">Vodorovné přemístění výkopku z hor.1-4 do 6000 m </t>
  </si>
  <si>
    <t>strojovna technologie:8,05*2,62*2,93</t>
  </si>
  <si>
    <t>rozvody fontána: ((13,0+24,7)*1,0+(10,0+6,0)*0,6)*0,25</t>
  </si>
  <si>
    <t>rozvody mlžení: 169,0*0,3*0,25</t>
  </si>
  <si>
    <t>rozvody z budovy: 55,0*0,5*0,25</t>
  </si>
  <si>
    <t>rozvody přípojka kanalizace: 48,5*0,5*0,25</t>
  </si>
  <si>
    <t>Nakládání výkopku z hor.1-4 v množství nad 100 m3 viz pol. Vodorovné přemístění výkopku</t>
  </si>
  <si>
    <t>Uložení sypaniny na skládku viz pol. Vodorovné přemístění výkopku</t>
  </si>
  <si>
    <t>Poplatek za skládku horniny 1- 4 viz pol. Vodorovné přemístění výkopku</t>
  </si>
  <si>
    <t>Výstražná folie š 500 mm</t>
  </si>
  <si>
    <t>Celkem za</t>
  </si>
  <si>
    <t>1 Zemní práce</t>
  </si>
  <si>
    <t>Zakládání</t>
  </si>
  <si>
    <t xml:space="preserve">Polštář základu z kameniva hr. drceného 16-32 mm </t>
  </si>
  <si>
    <t>fontána: 2*(48,43*0,1+35,60*0,22)</t>
  </si>
  <si>
    <t>Beton základových desek prostý C12/15</t>
  </si>
  <si>
    <t>podkladní beton fontány:2*48,43*0,1</t>
  </si>
  <si>
    <t>kotevní beton sloupky mlžená: 4*0,6*0,6*0,1</t>
  </si>
  <si>
    <t>podkladní beton strojovny:8,25*2,82*0,1</t>
  </si>
  <si>
    <t>krycí deska potrubí fontány:1,5*4,0*0,1</t>
  </si>
  <si>
    <t>krycí deska potrubí mlžení:0,5*4,0*0,1</t>
  </si>
  <si>
    <t>Základová deska ŽB C20/25, spádovaný povrch</t>
  </si>
  <si>
    <t>dno fontán:2*10,25*1,72*0,235</t>
  </si>
  <si>
    <t>plocha fontány:2*35,6*0,2</t>
  </si>
  <si>
    <t>Výztuž základových desek ze svařovaných sítí</t>
  </si>
  <si>
    <t>Bednění stěn základových desek- zřízení</t>
  </si>
  <si>
    <t>dno fontán:2*(2*10,25+2*1,72)*0,3</t>
  </si>
  <si>
    <t>plocha fontány:2*32,63*0,2</t>
  </si>
  <si>
    <t>Bednění stěn základových desek- odstranění</t>
  </si>
  <si>
    <t>2 Zakládání</t>
  </si>
  <si>
    <t>Svislé a kompletní konstrukce</t>
  </si>
  <si>
    <t>Konstrukce šachet z železobetonu C20/25</t>
  </si>
  <si>
    <t>dno strojovny:8,05*2,62*0,2</t>
  </si>
  <si>
    <t>stěny strojovny: 2*8,05*2,09*0,3+2*2,62*2,09*0,3+2,0*2,09*0,4</t>
  </si>
  <si>
    <t>strop strojovny:8,05*2,62*0,2-0,8*0,8-0,6*0,6</t>
  </si>
  <si>
    <t>komínek strojovny:4*1,1*0,45+4*0,9*0,45</t>
  </si>
  <si>
    <t>Bednění nadzákladových zdí - zřízení</t>
  </si>
  <si>
    <t>strojovna - stěny (vnější): (2*8,05+2*2,62)*2,49</t>
  </si>
  <si>
    <t>strojovna- komínek (vnější): 4*1,1*0,45+4*0,9*0,45</t>
  </si>
  <si>
    <t>strojovna- (částečné vnitřní):0,4*(2*5,0*2,0+2*2,0*2,0+4*2,0*2,0)</t>
  </si>
  <si>
    <t>strojovna- (částečné vnitřní- strop):0,4*(5,0*2,0+2,0*2,0)</t>
  </si>
  <si>
    <t>Bednění nadzákladových zdí - odstranění</t>
  </si>
  <si>
    <t xml:space="preserve">Výztuž nadzákladových zdí ze svařovaných sítí </t>
  </si>
  <si>
    <t>3 Svislé a kompletní konstrukce</t>
  </si>
  <si>
    <t>711</t>
  </si>
  <si>
    <t>Izolace proti vodě, vlhkosti a plynu</t>
  </si>
  <si>
    <t>Penetrace podkladu akrylovým penetračním nátěrem ve vodní disperzi, vč. dodání materiálu</t>
  </si>
  <si>
    <t>Opatření koutu mezi dnem a stěnami pogumovanou páskou pro pružné těsnění rohů vtlačenou do vrstvy hydroizolační hmoty, vč. dodání materiálu</t>
  </si>
  <si>
    <t>Aplikace první vrstvy hydroizolační stěrky - dvousložková cementová hydroizolační hmota s vloženou výztužnou netkanou textilíí,vč. dodání materiálu</t>
  </si>
  <si>
    <t>Aplikace druhé vrstvy hydroizolační stěrky - dvousložková cementová hydroizolační hmota, vč. dodání materiálu</t>
  </si>
  <si>
    <t>711 Izolace proti vodě, vlhkosti a plynu</t>
  </si>
  <si>
    <t>M21</t>
  </si>
  <si>
    <t>Elektromontáž, řízení, osvětlení</t>
  </si>
  <si>
    <t>00001</t>
  </si>
  <si>
    <t>Podružný elektrorozvaděč technologie RM1 v provedení jako sestava plastových rozvodnic na omítku, krytí IP55</t>
  </si>
  <si>
    <t>332-436</t>
  </si>
  <si>
    <t>Spínaný zdroj 24VDC, 150W</t>
  </si>
  <si>
    <t>CYKY-J 4x1,5</t>
  </si>
  <si>
    <t>Kabeláž ke světlům- CYKY-J 4x1,5</t>
  </si>
  <si>
    <t xml:space="preserve">CYKY-J 5x16 </t>
  </si>
  <si>
    <t xml:space="preserve">Kabeláž napájení strojovny- CYKY-J 5x16 </t>
  </si>
  <si>
    <t>JPA 1506</t>
  </si>
  <si>
    <t xml:space="preserve">Ústředna ozvučení dle specifikace v TZ </t>
  </si>
  <si>
    <t>DPT 612</t>
  </si>
  <si>
    <t xml:space="preserve">Sloupová reprosouprava  specifikace dle TZ </t>
  </si>
  <si>
    <t>12 965</t>
  </si>
  <si>
    <t>Reproduktorový kabel pro 100V rozvody 2×1,5 mm²</t>
  </si>
  <si>
    <t>CYKY-J51,5</t>
  </si>
  <si>
    <r>
      <t>Kabeláž k čidlům Cyky 5*1,5 mm</t>
    </r>
    <r>
      <rPr>
        <vertAlign val="superscript"/>
        <sz val="8"/>
        <rFont val="Arial"/>
        <family val="2"/>
      </rPr>
      <t>2</t>
    </r>
  </si>
  <si>
    <t>Kopo 40</t>
  </si>
  <si>
    <t>Kabelová chránička D40</t>
  </si>
  <si>
    <t>Kopo 50</t>
  </si>
  <si>
    <t>Kabelová chránička D50</t>
  </si>
  <si>
    <t>LED OV1</t>
  </si>
  <si>
    <t>Nerezový přisazený LED RGB reflektor , 9x3W, IP68, 24VDC</t>
  </si>
  <si>
    <t>00002</t>
  </si>
  <si>
    <t>RGB převodník reflektoru</t>
  </si>
  <si>
    <t>00003</t>
  </si>
  <si>
    <t>Rozvaděč RGB převodníků</t>
  </si>
  <si>
    <t>00004</t>
  </si>
  <si>
    <t xml:space="preserve">Ladění a oživení systému </t>
  </si>
  <si>
    <t>kompl</t>
  </si>
  <si>
    <t>MF2222674</t>
  </si>
  <si>
    <t>Frekvenční měnič 1,5kW, Uvst=3x400V, Uvýst=3x400V, IP20, fr=0,2-400Hz</t>
  </si>
  <si>
    <t>00005</t>
  </si>
  <si>
    <t xml:space="preserve">Jednoduchá ovládací jednotka pro měnič                                                                                                                                   </t>
  </si>
  <si>
    <t>MF22288</t>
  </si>
  <si>
    <t>Odrušovací filtr pro frekvenční měniče do výkonu 20 kW</t>
  </si>
  <si>
    <t>WECS II 1024/dmx /02</t>
  </si>
  <si>
    <t xml:space="preserve">HW -  Řídící systém, interface. 1024 KANÁLY RDM/DMX  8 digitálních vstupů, 8 digitálních výstupů, čelní zobrazovací panel .  Vč základního SW. Audio výstup, RDM monitor,DMX výběr kanálů, </t>
  </si>
  <si>
    <t>WEPS SW -WECS 1024</t>
  </si>
  <si>
    <t>Programovací SW rozšíření pro choreogafii s hudbou , editovatelné effekty SIN, COS,RECT,SAW,UP/DOWN</t>
  </si>
  <si>
    <t>WEPS vizual</t>
  </si>
  <si>
    <t xml:space="preserve">SW vizualizace - MIN 2D zobrazení, výstup v bežně přehratelném formátu </t>
  </si>
  <si>
    <t>CHOR- FM,LED,HUD</t>
  </si>
  <si>
    <t>Sestavení choreogafie skladby s ručním individuálním programováním každého prvku dle hudby v úseku min po 1s. Délka jedné skladby max 4 min.</t>
  </si>
  <si>
    <t>00006</t>
  </si>
  <si>
    <t>Rozváděč pro odrušovací filtr označený RF1, v provedení jako plastová rozvodnice GW44211 na omítku s rozměry 380x460x180 mm, krytí IP56, bez ceny filtru</t>
  </si>
  <si>
    <t>00007</t>
  </si>
  <si>
    <t xml:space="preserve">Rozváděč pro frekvenční měniče označené RFM1 v provedení jako oceloplechová rozvodnice na omítku krytí IP65, </t>
  </si>
  <si>
    <t>KP 3</t>
  </si>
  <si>
    <t>Nerezová kabelová průchodka třívývodová, G6/4"</t>
  </si>
  <si>
    <t>00008</t>
  </si>
  <si>
    <t>Nucené odvětrání strojovny odtahovým ventilátorem</t>
  </si>
  <si>
    <t>kompl.</t>
  </si>
  <si>
    <t>00009</t>
  </si>
  <si>
    <t xml:space="preserve">Stropní svítidlo strojovny 100W s krycím sklem, IP44, 230V </t>
  </si>
  <si>
    <t>00010</t>
  </si>
  <si>
    <t>Drobný elektroinstalační materiál</t>
  </si>
  <si>
    <t>00011</t>
  </si>
  <si>
    <t>Elektroinstalační práce</t>
  </si>
  <si>
    <t>KM pozink. plast</t>
  </si>
  <si>
    <t>Kotvící materiál, úchyty</t>
  </si>
  <si>
    <t>00012</t>
  </si>
  <si>
    <t>Revizní zpráva</t>
  </si>
  <si>
    <t>M21 Elektromontáž, řízení, osvětlení</t>
  </si>
  <si>
    <t>M35</t>
  </si>
  <si>
    <t>Montáž čerpadel, kompresorů</t>
  </si>
  <si>
    <t>315111114</t>
  </si>
  <si>
    <t>Montáž technologie</t>
  </si>
  <si>
    <t>03511234</t>
  </si>
  <si>
    <t>Tlakové zkoušky</t>
  </si>
  <si>
    <t>hod.</t>
  </si>
  <si>
    <t>03511235</t>
  </si>
  <si>
    <t>Uvedení do provozu</t>
  </si>
  <si>
    <t>03511236</t>
  </si>
  <si>
    <t>Zaškolení obsluhy</t>
  </si>
  <si>
    <t>M35 Montáž čerpadel, kompresorů</t>
  </si>
  <si>
    <t>M99</t>
  </si>
  <si>
    <t>Ostatní dodávky a práce "M"</t>
  </si>
  <si>
    <t>3511238</t>
  </si>
  <si>
    <t>Návod na obsluhu a údržbu</t>
  </si>
  <si>
    <t>3519999</t>
  </si>
  <si>
    <t>Vedlejší náklady</t>
  </si>
  <si>
    <t>3511239</t>
  </si>
  <si>
    <t>PD ve stupni realizační, Dílenská dokumentace</t>
  </si>
  <si>
    <t>3511240</t>
  </si>
  <si>
    <t>Autorský dozor</t>
  </si>
  <si>
    <t>3511241</t>
  </si>
  <si>
    <t>Přesun hmot</t>
  </si>
  <si>
    <t>50992</t>
  </si>
  <si>
    <t>Nerezová napěněná tryska typu Gejzír, ∅ústí 45mm, připojení G6/4"</t>
  </si>
  <si>
    <t>IT.101</t>
  </si>
  <si>
    <t>Nerezová vysokotlaká mlžná tryska, průměr ústí 0,4mm, průtok 0,15l/s při 70barech</t>
  </si>
  <si>
    <t>L600</t>
  </si>
  <si>
    <t>Litinový poklop vnitřní rozměr 600x600mm, třída zatížení B125, s pantem, těsněním a uzamykáním</t>
  </si>
  <si>
    <t>L800</t>
  </si>
  <si>
    <t>Litinový poklop vnitřní rozměr 800x800mm, třída zatížení B125, s pantem, těsněním a uzamykáním</t>
  </si>
  <si>
    <t>atyp.plast 01</t>
  </si>
  <si>
    <t>PP jednoplášťová jednovstupová strojovna technologie, vnitřní rozměry 5,0x2,0x2,0m, vstupní komínek 800x800mm,  čerpací  jímka, vč. žebříku a těsněných prostupů, bez poklopu</t>
  </si>
  <si>
    <t>atyp.plast 02</t>
  </si>
  <si>
    <t>PP jednoplášťová jednovstupová retenční nádrž, rozměry 2,0x2,0x2,0mm, objem 8m³, vstupní komínek 600x600mm,  vč. žebříku a těsněných prostupů, bez poklopu</t>
  </si>
  <si>
    <t>atyp.plast 03</t>
  </si>
  <si>
    <t>PP rozvaděč společného sání D225, 18x PP vývod G2"</t>
  </si>
  <si>
    <t>atyp.plast 04</t>
  </si>
  <si>
    <t>PP zachycovač nečistot s nerezovým sítem</t>
  </si>
  <si>
    <t>atyp.plast 05</t>
  </si>
  <si>
    <t>PP podstavec čerpadla</t>
  </si>
  <si>
    <t>atyp.plast 06</t>
  </si>
  <si>
    <t>PP svařovaná záchytná vana chemikálií pro 2 kanystry</t>
  </si>
  <si>
    <t>atyp.plast 07</t>
  </si>
  <si>
    <t>Revizní lávka 0,5x2,4m- pochozí plastový PP rošt na nosné PP konstrukci</t>
  </si>
  <si>
    <t>atyp.plast/nerez 01</t>
  </si>
  <si>
    <t>PP šachtička odvětrání s nerezovou krycí mřížkou</t>
  </si>
  <si>
    <t>atyp.nerez 01</t>
  </si>
  <si>
    <r>
      <t xml:space="preserve">Nerezová nádrž vodního prvku celkové rozměry 1320x10805mm, vnitřní  poloměr 7250mm, výška 350-380mm, spádované dno do dvou žlábků šířky 100mm s vývodem vypouštění G3", 3x přepadová armatura délky 1500mm s  gravitačním odtokem DN100, 9x přívod trysky G6/4", 3x nerezová  kabelová průchodka 3-vývovodová, nerezová nosná konstrukce z profilů L60,  vč. kotvení s výškovou rektifikací. celková hmotnost vany včetně podpěrné konstrukce a van pro zadláždění  </t>
    </r>
    <r>
      <rPr>
        <b/>
        <sz val="8"/>
        <rFont val="Arial"/>
        <family val="2"/>
      </rPr>
      <t xml:space="preserve">Hmotnost celé sestavy nerezové vany, podpěrmné konstrukce a vaniček 1980 kg/ nádrž </t>
    </r>
    <r>
      <rPr>
        <sz val="8"/>
        <rFont val="Arial"/>
        <family val="2"/>
      </rPr>
      <t>samotné konstky nejsou součástí technologie</t>
    </r>
  </si>
  <si>
    <t>atyp.nerez 02</t>
  </si>
  <si>
    <t>Nerezový sloupek mlžení, ∅88,9mm, výška 1,5m, 2x nerezový rozvaděč trysek ∅21,3m délky   700mm s přívodem G1/8", vč. kotvení s výškovou rektifikací</t>
  </si>
  <si>
    <t>atyp.nerez 03</t>
  </si>
  <si>
    <t>Nerezový rozvaděč mlžení ∅33,7mm, délka 400mm, přívod G3/8', 8x vývod G1/4"</t>
  </si>
  <si>
    <t>atyp.nerez 04</t>
  </si>
  <si>
    <t>Nerezový rozvaděč trysek, ∅21,3mm, délka 500mm, přívod G1/4", 5x vývod G1/8"</t>
  </si>
  <si>
    <t>10888</t>
  </si>
  <si>
    <t>Zachycovač nečistot z polyesterového sklolaminátu s vizorem, objem 60l, připojení 2xD225, max. tlak 1,5kg/cm²</t>
  </si>
  <si>
    <t>CEA 210/2</t>
  </si>
  <si>
    <t>Nerezové čerpadlo trysky, připojení DN40/DN32, výkon 0,75kW, Q=7,2m³/h při 16,5 mvs, 400V</t>
  </si>
  <si>
    <t>70/3,9-E</t>
  </si>
  <si>
    <t xml:space="preserve">Vysokotlaké tříplunžrové čerpadlo s přepouštěcím ventilem, filtrem vstupní kapaliny a manometrem výtlaku, 400V, výkon motoru 0,75kW, průtok 3,9l/min při 70barech, IP55, připojení G1/2'/G3/8" </t>
  </si>
  <si>
    <t>570518</t>
  </si>
  <si>
    <t>Odstředivé plastové čerpadlo filtrace s integrovaným zachycovačem nečistot, připojení DN50/DN40, výkon 0,65 kW; Q=14m³/h při 8 mvs, 230V</t>
  </si>
  <si>
    <t>15783</t>
  </si>
  <si>
    <t>Pískový plastový filtr s bočním připojením 11/2", vnitřní průměr D600, průtok 9m³/h</t>
  </si>
  <si>
    <t>00596</t>
  </si>
  <si>
    <t>Filtrační písek 0,6-1 mm</t>
  </si>
  <si>
    <t>32581</t>
  </si>
  <si>
    <t xml:space="preserve">Automatický ovládací 6-ti cestný ventil s bočním připojením na filtr, připojení 11/2" </t>
  </si>
  <si>
    <t>1214</t>
  </si>
  <si>
    <t>Automatická dávkovací stanice- měření a udržování pH a koncentrace chloru</t>
  </si>
  <si>
    <t>12130</t>
  </si>
  <si>
    <t>Kanystr s korektorem pH, 20l</t>
  </si>
  <si>
    <t>12075</t>
  </si>
  <si>
    <t>Kanystr s chlornanem sodným, 20l</t>
  </si>
  <si>
    <t>DIWA07</t>
  </si>
  <si>
    <t>Ponorné kalové čerpadlo, nerezové, výkon 0,55kW, Q=8m3/h při 6mvs, 230V</t>
  </si>
  <si>
    <t>WGME-240</t>
  </si>
  <si>
    <t>Jednoduchý změkčovací filtr s objemovým řízením s kapacitou 240°dHxm³, vč. nádoby na sůl</t>
  </si>
  <si>
    <t>WKSME-120 BNT</t>
  </si>
  <si>
    <t>Kabinetní jednoduchý změkčovací filtr pitné vody s objemovým řízením s kapacitou 120°dHxm³</t>
  </si>
  <si>
    <t>SD-1"</t>
  </si>
  <si>
    <t>Sestava dopouštění včetně By-passu - 1"</t>
  </si>
  <si>
    <t>EVPI 2020</t>
  </si>
  <si>
    <t>Elektromagnetický ventil 1", 230V</t>
  </si>
  <si>
    <t>RA109P421</t>
  </si>
  <si>
    <t xml:space="preserve">Kartušový filtr G 1 včetně filtrační vložky 50 mic </t>
  </si>
  <si>
    <t>02701</t>
  </si>
  <si>
    <t>Tr PVC D225,dl.5m,PN 6</t>
  </si>
  <si>
    <t>02713</t>
  </si>
  <si>
    <t>Tr PVC D110,dl.6m,PN 10</t>
  </si>
  <si>
    <t>02712</t>
  </si>
  <si>
    <t>Tr PVC D 90,dl.6m, PN 10</t>
  </si>
  <si>
    <t>02710</t>
  </si>
  <si>
    <t>Tr PVC D 63,dl.5m, PN 10</t>
  </si>
  <si>
    <t>02709</t>
  </si>
  <si>
    <t>Tr PVC D 50,dl.5m, PN 10</t>
  </si>
  <si>
    <t>0560063</t>
  </si>
  <si>
    <t>Kohout kulový D 63 PVC</t>
  </si>
  <si>
    <t>0560050</t>
  </si>
  <si>
    <t>Kohout kulový D 50 PVC</t>
  </si>
  <si>
    <t>0567050</t>
  </si>
  <si>
    <t>Ventil zpětný D 50 PVC</t>
  </si>
  <si>
    <t>0501225</t>
  </si>
  <si>
    <t>Koleno D225 PVC 90° lep</t>
  </si>
  <si>
    <t>0501110</t>
  </si>
  <si>
    <t>Koleno D110 PVC 90° lep</t>
  </si>
  <si>
    <t>0502110</t>
  </si>
  <si>
    <t>Koleno D110 PVC 45° lep</t>
  </si>
  <si>
    <t>0501090</t>
  </si>
  <si>
    <t>Koleno D 90 PVC 90° lep</t>
  </si>
  <si>
    <t>0502090</t>
  </si>
  <si>
    <t>Koleno D 90 PVC 45° lep</t>
  </si>
  <si>
    <t>PV01050AP</t>
  </si>
  <si>
    <t>Koleno D 50/90° PVC PN16</t>
  </si>
  <si>
    <t>PV02050AP</t>
  </si>
  <si>
    <t>Koleno D 50/45° PN 16, PVC</t>
  </si>
  <si>
    <t>0503110</t>
  </si>
  <si>
    <t>T-kus D110 PVC lepení</t>
  </si>
  <si>
    <t>PV03050AP</t>
  </si>
  <si>
    <t>T-kus D 50 PVC PN 16</t>
  </si>
  <si>
    <t>0505850</t>
  </si>
  <si>
    <t>Nátrubek D 50x6/4"int. kov</t>
  </si>
  <si>
    <t>0505490</t>
  </si>
  <si>
    <t>Nátrubek D 90 x 3" int</t>
  </si>
  <si>
    <t>0551250</t>
  </si>
  <si>
    <t>Šroubení D 50x6/4"ex.těsn</t>
  </si>
  <si>
    <t>0551440</t>
  </si>
  <si>
    <t>Šroubení D 40x11/4"ext.</t>
  </si>
  <si>
    <t>0551463</t>
  </si>
  <si>
    <t>Šroubení D 63x2"ext.PVC</t>
  </si>
  <si>
    <t>0506112</t>
  </si>
  <si>
    <t>Redukce kr.D110x63 PVC</t>
  </si>
  <si>
    <t>0225606350</t>
  </si>
  <si>
    <t>Redukce kr.63x50 PVC</t>
  </si>
  <si>
    <t>0506110</t>
  </si>
  <si>
    <t>Redukce kr.D110x90 PVC</t>
  </si>
  <si>
    <t>0506050</t>
  </si>
  <si>
    <t>Redukce kr.D 50x40 PVC</t>
  </si>
  <si>
    <t>0511225</t>
  </si>
  <si>
    <t>Příruba točivá D225 PVC</t>
  </si>
  <si>
    <t>0514225</t>
  </si>
  <si>
    <t>Těsnění ploché D225 PE</t>
  </si>
  <si>
    <t>0510225</t>
  </si>
  <si>
    <t>Manžeta přír.D225 PVC</t>
  </si>
  <si>
    <t>0580110</t>
  </si>
  <si>
    <t>Klapka uzavírací D110 PVC</t>
  </si>
  <si>
    <t>0581110RA</t>
  </si>
  <si>
    <t>Sada přírub D110 ke kla</t>
  </si>
  <si>
    <t>150/1</t>
  </si>
  <si>
    <t>Kanalizační trubky SN4 DN 150 1m</t>
  </si>
  <si>
    <t>100/1</t>
  </si>
  <si>
    <t>Kanalizační trubky SN4 DN 100 1m</t>
  </si>
  <si>
    <t>HT150/250</t>
  </si>
  <si>
    <t>Trubka PP HT   DN 150 250m</t>
  </si>
  <si>
    <t>HT150/1000</t>
  </si>
  <si>
    <t>Trubka PP HT   DN 150 1000m</t>
  </si>
  <si>
    <t>KGB150/87</t>
  </si>
  <si>
    <t>Koleno DN 150 87°</t>
  </si>
  <si>
    <t>KGB150/45</t>
  </si>
  <si>
    <t>Koleno DN 150 45°</t>
  </si>
  <si>
    <t>KGB100/87</t>
  </si>
  <si>
    <t>Koleno DN 100 87°</t>
  </si>
  <si>
    <t>KGB100/45</t>
  </si>
  <si>
    <t>Koleno DN 100 45°</t>
  </si>
  <si>
    <t>KGEA150/100/45</t>
  </si>
  <si>
    <t>Jednoduchá odbočka 45° DN 150 DN 100</t>
  </si>
  <si>
    <t>KGR150/100</t>
  </si>
  <si>
    <t>Redukce DN 150 DN 100</t>
  </si>
  <si>
    <t>HTB150/87</t>
  </si>
  <si>
    <t>Koleno PP HT DN 150 87°</t>
  </si>
  <si>
    <t>HTEA150/150/87</t>
  </si>
  <si>
    <t>Jednoduchá odbočka PP HT  87° DN 150 DN 150</t>
  </si>
  <si>
    <t>HTEA150/100/87</t>
  </si>
  <si>
    <t>Jednoduchá odbočka PP HT  87° DN 150 DN 100</t>
  </si>
  <si>
    <t>IT.0250</t>
  </si>
  <si>
    <t>Polyamidová hadice mlžení D6,35mm</t>
  </si>
  <si>
    <t>IT.0330</t>
  </si>
  <si>
    <t>Spojovací fitinka G1/4'- 6,35mm</t>
  </si>
  <si>
    <t>IT.0333</t>
  </si>
  <si>
    <t>Spojovací fitinka 6,35mm-6,35mm</t>
  </si>
  <si>
    <t>PE40116RC</t>
  </si>
  <si>
    <t>PE roura 40x3,7, PN16- chránicčka hadic mlžení</t>
  </si>
  <si>
    <t>st.01</t>
  </si>
  <si>
    <t>Navrtávka přípojky kanalizace DN150 do stávající betonové šachty</t>
  </si>
  <si>
    <t>PE roura 40x3,7, PN16- přípojka vody z úpravny vody</t>
  </si>
  <si>
    <t>PE3211RC</t>
  </si>
  <si>
    <t>PE roura 32x3,0, PN16- přípojka pitné vody</t>
  </si>
  <si>
    <t>411-0150-030-3324</t>
  </si>
  <si>
    <t>Těsnící vložka prostupu- pryžové těsnění v nerezových svěrných kroužcích tl. 5mm, vnější průměr 150mm, prostupy 2xD32, 1xD40</t>
  </si>
  <si>
    <t>0590300</t>
  </si>
  <si>
    <t>Čistič PVC</t>
  </si>
  <si>
    <t>litr</t>
  </si>
  <si>
    <t>900102</t>
  </si>
  <si>
    <t>Teflonová páska</t>
  </si>
  <si>
    <t>0590101</t>
  </si>
  <si>
    <t>Lepidlo PVC-U</t>
  </si>
  <si>
    <t>M99 Ostatní dodávky a práce "M"</t>
  </si>
  <si>
    <t>SO 06 - Perimetrická síť</t>
  </si>
  <si>
    <t>Tomáš Pour</t>
  </si>
  <si>
    <t>Rozpočet - Perimetrická ochrana Úřad vlády</t>
  </si>
  <si>
    <t>Pol.:</t>
  </si>
  <si>
    <t>Předmět dodávky a montáže:</t>
  </si>
  <si>
    <t>Výměra</t>
  </si>
  <si>
    <t>008: Zemní práce pro vedení kabeláže bezpečnostních systémů</t>
  </si>
  <si>
    <t>008_001</t>
  </si>
  <si>
    <t>008_002</t>
  </si>
  <si>
    <t>008_003</t>
  </si>
  <si>
    <t>008_004</t>
  </si>
  <si>
    <t>008_005</t>
  </si>
  <si>
    <t>008_006</t>
  </si>
  <si>
    <t>008_007</t>
  </si>
  <si>
    <t>008_008</t>
  </si>
  <si>
    <t>Přemístění (odvoz) horniny, suti a vybouraných hmot do 1 km</t>
  </si>
  <si>
    <t>008_009</t>
  </si>
  <si>
    <t>Přemístění (odvoz) horniny, suti a vybouraných hmot příplatek k ceně za každý další i započatý 1 km</t>
  </si>
  <si>
    <t>008_010</t>
  </si>
  <si>
    <t>Úprava terénu provizorní úprava terénu včetně odkopání drobných nerovností a zásypu prohlubní se zhutněním, v hornině třídy 3 (dno výkopu)</t>
  </si>
  <si>
    <t>008_011</t>
  </si>
  <si>
    <t>009: Zemní práce pro vedení perimetrického vedení</t>
  </si>
  <si>
    <t>009_001</t>
  </si>
  <si>
    <t>009_002</t>
  </si>
  <si>
    <t>Hloubení zapažených i nezapažených kabelových rýh ručně včetně urovnání dna s přemístěním výkopku do vzdálenosti 3 m od okraje jámy nebo naložením na dopravní prostředek šířky 35 cm, hloubky 35 cm, v hornině třídy 3</t>
  </si>
  <si>
    <t>009_003</t>
  </si>
  <si>
    <t>009_004</t>
  </si>
  <si>
    <t>009_005</t>
  </si>
  <si>
    <t>009_006</t>
  </si>
  <si>
    <t>Kabelové lože včetně podsypu, zhutnění a urovnání povrchu z písku nebo štěrkopísku tloušťky 7,5 cm nad kabel zakryté plastovou fólií, šířky lože přes 25 do 50 cm</t>
  </si>
  <si>
    <t>009_007</t>
  </si>
  <si>
    <t>Geotextilie š. 1000 mm</t>
  </si>
  <si>
    <t>009_008</t>
  </si>
  <si>
    <t>Položení geotextilie do výkopu včetně založení</t>
  </si>
  <si>
    <t>009_009</t>
  </si>
  <si>
    <t>Kabelový žlab šířky 15 cm a hloubky 17,5 cm s únosností 25 tun</t>
  </si>
  <si>
    <t>009_010</t>
  </si>
  <si>
    <t>Uložení betonového žlabu šířky 15 cm a hloubky 17,5 cm do výkopu</t>
  </si>
  <si>
    <t>009_011</t>
  </si>
  <si>
    <t>Zásyp kabelových rýh ručně s uložením výkopku ve vrstvách včetně zhutnění a urovnání povrchu šířky 35 cm hloubky 35 cm (mezi betonovými žlaby), v hornině třídy 3</t>
  </si>
  <si>
    <t>009_012</t>
  </si>
  <si>
    <t>Zásyp betonového žlabu kopaným pískem</t>
  </si>
  <si>
    <t>009_013</t>
  </si>
  <si>
    <t>Zásyp rýhy mezi uložením kabelových žlabů ve výkopu</t>
  </si>
  <si>
    <t>009_014</t>
  </si>
  <si>
    <t>Položení žulové kostky hloubky 160 mm (viz. řešení pojezdových ploch) včetně kladecí vrstvy z kameniva fr. 4-8</t>
  </si>
  <si>
    <t>009_015</t>
  </si>
  <si>
    <t>Zásyp kabelových rýh ručně s uložením výkopku ve vrstvách včetně zhutnění a urovnání povrchu šířky 35 cm hloubky 20 cm, v hornině třídy 3</t>
  </si>
  <si>
    <t>009_016</t>
  </si>
  <si>
    <t>009_017</t>
  </si>
  <si>
    <t>009_018</t>
  </si>
  <si>
    <t>009_019</t>
  </si>
  <si>
    <t>SO 07 - Propagace projektu  - dotační titul</t>
  </si>
  <si>
    <t>SO 07 - PROPAGACE PROJEKTU</t>
  </si>
  <si>
    <t>PROPAGACE</t>
  </si>
  <si>
    <t>Dočasný bilboard - potisk plachty, upevnění na rám na plot nebo konstrukci, celobarevný, 5100x2400mm, venkovní použití, instalace po celou dobu stavby</t>
  </si>
  <si>
    <t>pamětní deska stálá, rozměr 300x400mm, materiál leštěný kámen</t>
  </si>
  <si>
    <t xml:space="preserve">Poznámka: Státní fond životního prostředí ČR si vyhrazuje právo připravit pro příjemce podpory tiskový podklad dočasného billboardu a stálé pamětní desky, zhotovitel je návrhem vázán. </t>
  </si>
  <si>
    <t>20.09.2019</t>
  </si>
  <si>
    <t>B-Tp1: Odstranění obruby zpevněných ploch</t>
  </si>
  <si>
    <t>Odkopávky při pozemkové úpravě nezapaž., š. 300 mm (560,4 m2 x hl. 0,4 m)</t>
  </si>
  <si>
    <t>Vodorovné přemístění výkopku z hor.1-4 do 20000 m vč. naložení na dopr. prostředek do 12 t a složení (224,2 m3 x koef. nakypření 1,22)</t>
  </si>
  <si>
    <t>460030092R00</t>
  </si>
  <si>
    <t>Vytrhání kamenných obrub, lože MC</t>
  </si>
  <si>
    <t>Vodorovné přemístění vyb. hmot do 20000 m, vč. naložení na dopr. prostředek do 12 t a složení (84 m3 x 2,2 t/m3)</t>
  </si>
  <si>
    <t>Plocha vybouraných kostek: 280,2 m2 x hl. cca 0,3 m = 84 m3
- kamenné kostky: odvoz na místo určení dle instrukcí investora nebo technického dozoru
- stavební suť: odvoz na skládku</t>
  </si>
  <si>
    <t>Poplatek za skládku - vytříděný homogenní materiál (42 m3 x 2,2 t/m3)</t>
  </si>
  <si>
    <t>113156645R</t>
  </si>
  <si>
    <t>Odstranění podkladu nad 50 m2, štěrkodrť tl. 450 mm - ruční výkop s důrazem na ochranu kořenového systému okolních stromů</t>
  </si>
  <si>
    <t>(asfalt: 177 m3 x 1,2 t/m3 = 212,4 t; železobeton: 708 m3 x 2,4 t/m3 = 1699,2 t; štěrkodrť: 1592 m3 x 1,8 t/m3 = 2865,6 t)</t>
  </si>
  <si>
    <t>Cena/m. j. dle RTS: 1 235 Kč; přirážka: 265 Kč. Výše poplatku za skládku byla přizpůsobena lokálním podmínkám na základě průzkumu trhu.</t>
  </si>
  <si>
    <t>11009RVD</t>
  </si>
  <si>
    <t>Laboratorní zkouška únosnosti a zhutnitelnosti zemní pláně</t>
  </si>
  <si>
    <t>a) výkop do hl. 300 mm (v místě odstranění stávajícího povrchu - již odkopáno 400 mm): 19,2 m2 x 0,3 m = 5,8 m3
b) výkop do hl. 700 mm: 45 m2 x 0,7 m = 31,5 m3
c) výkop do hl. 300 mm pro osazení obrubníku: 145,6 m2 x 0,37 m = 53,9 m3
Již odkopáno: 3467,1 m2 = 0 m3.</t>
  </si>
  <si>
    <t>3539,9 m2 (plocha dlažby) + 145,6 m2 (plocha pro obrubník) = 3685,5 m2</t>
  </si>
  <si>
    <t>Vodorovné přemístění výkopku z hor.1-4 do 20000 m, vč. naložení na dopr. prostředek do 12 t a složení (91,2 m3 x koef. nakypření 1,22)</t>
  </si>
  <si>
    <t>- štěrkodrť fr. 0-8 (filtrační vrstva), vč. obrubníku: 3685,5 m2 x 0,06 m x 1,05 koef. nakypření = 232,2 m3
- štěrkodrť fr. 0-63, vč. obrubníku: 3685,5 m2 x 0,27 m x 1,05 koef. nakypření = 1044,8 m3
- štěrkodrť fr. 0-32: 3539,9 m2 x 0,17 m x 1,05 koef. nakypření = 631,9 m3</t>
  </si>
  <si>
    <t>Předpokládaná vzdálenost z lomu tam a zpět: 90 km
Maximální hmotnost převáženého materiálu/t: 7
= celkový počet t: 3453,4 t/7 t = 494 potřebných vleček x 90 km</t>
  </si>
  <si>
    <t>Kamenivo drcené frakce 0-8, tl. 60 mm; 1,65 t/m3 x 232,2 m3; vč. vykládky</t>
  </si>
  <si>
    <t>Cena/m. j. dle RTS: 315,42 Kč; přirážka: 364,58 Kč.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</si>
  <si>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Kamenivo drcené frakce 0-63, tl. 270 mm; 1,85 t/m3 x 1044,8 m3; vč. vykládky</t>
  </si>
  <si>
    <t>Cena/m. j. dle RTS: 420 Kč; přirážka: 100 Kč.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</si>
  <si>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Kamenivo drcené frakce 0-32; tl. 170 mm; 1,80 t/m3 x 631,9 m3; vč. vykládky</t>
  </si>
  <si>
    <t>Cena/m. j. dle RTS: 390 Kč; přirážka: 60 Kč.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</si>
  <si>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Kostka dlažební velká 15/17 cm; 1t=2,5m2; 1416 + 3% ztratné; vč. dopravy a vykládky</t>
  </si>
  <si>
    <t>Cena/m. j. dle RTS: 2 055 Kč; přirážka: 2 145 Kč.
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
Použitý materiál musí být v celém objemu ze stejného lomu - ze stejné části stěny, příp. v lomu přebírán, aby byla zachována barevná jednotnost.
Barva:
- béžová žula: 3239,2 m2
- šedá žula (kolem vodního prvku): 300,7 m2</t>
  </si>
  <si>
    <t>Cena/m. j. dle RTS: 1 158,25 Kč; přirážka: 41,75 Kč.
Cena materiálu byla stanovena na základě průzkumu trhu - s přihlédnutím k požadované kvalitě a druhu (barva kamene). Do ceny je zahrnuta také doprava a vykládka materiálu na staveništi.
Použitý materiál musí být v celém objemu ze stejného lomu (jako dlažební kostky) - ze stejné části stěny, příp. v lomu přebírán, aby byla zachována barevná jednotnost.
Barva: béžová žula, shodná s dlažebními kostkami</t>
  </si>
  <si>
    <t>043001RVD</t>
  </si>
  <si>
    <t>Ruční sloupnutí travního drnu ve vrstvě do 20 mm, viz výkres, kolem kmenů stromů</t>
  </si>
  <si>
    <t>043002RVD</t>
  </si>
  <si>
    <t>Plošné odstranění zeminy do hl.0,1m technologií Air Spade - vzduchový rýč, viz výkres</t>
  </si>
  <si>
    <t>Sejmutí ornice, naložení, odvoz a uložení ( hloubka 0,12 m, vč. koef. nakypření 1,22)</t>
  </si>
  <si>
    <t>Plošná úprava terénu, nerovnosti do 20 cm v rovině(vč.doplnění zeminy u korun zídek na spodních parterech)</t>
  </si>
  <si>
    <t>Násyp ze štěrku fr. 4-8, tl.4 cm, vč. materiálu</t>
  </si>
  <si>
    <t>Násyp ornice(místní odplevelená) a písku fr.2/4, poměr 2:1; tl. 12 cm (5691 m2 x 0,12 x 1,05 (koef. sléhavosti)</t>
  </si>
  <si>
    <t>181301102R00</t>
  </si>
  <si>
    <t>Rozprostření ornice a písku, rovina, tl. 12 cm, vzájemné promísení</t>
  </si>
  <si>
    <t>Násyp a rozprostření jemného písku fr. 0,25/2 (5691 m2 x 0,05 x 1,05 (koef. sléhavosti)</t>
  </si>
  <si>
    <t>Předpokládaná vzdálenost tam a zpět: 90 km
Maximální hmotnost převáženého materiálu/t: 7
= celkový počet t štěrk fr.4-8: 418,8 t/7 t = 60 potřebných vleček x 90 km = 5400 km
= celkový počet t písek fr.2-4: 406 t/7 t = 58 potřebných vleček x 90 km = 5220 km
= celkový počet t písek fr.0,25-2: 51 t/7 t = 8 potřebných vleček x 90 km = 720 km</t>
  </si>
  <si>
    <t>58152R</t>
  </si>
  <si>
    <t>Křemičitý písek fr.0,25/2 (30m3 x 1,7t); vč. vykládky</t>
  </si>
  <si>
    <t>Cena/m. j. dle RTS: 1671 Kč; přirážka: 429 Kč.
Cena materiálu byla stanovena s přihlédnutím ke zvýšeným požadavkům na kvalitu písku, aby plnil funkci v plném rozsahu: písek bude požadován ostrohranný - aby nedocházelo k agregaci částic, v nejvyšší jakostní třídě. Tento požadavek bude při realizaci kontrolován.</t>
  </si>
  <si>
    <t>583300R</t>
  </si>
  <si>
    <t>Písek 2-4 dle ČSN EN 13139; vč. vykládky</t>
  </si>
  <si>
    <t>Cena/m. j. dle RTS: 271,42 Kč; přirážka: 268,58 Kč. 
Cena materiálu byla stanovena s přihlédnutím ke zvýšeným požadavkům na kvalitu písku, aby plnil funkci v plném rozsahu: písek bude požadován v kvalitě maltového písku, s minimálním zakalením a obsahem jílových částic, v nejvyšší jakostní třídě. Tento požadavek bude při realizaci kontrolován.</t>
  </si>
  <si>
    <t>Specifikace keřů k výsadbě</t>
  </si>
  <si>
    <t>Z1: Záhon slunný</t>
  </si>
  <si>
    <t>Ozn.</t>
  </si>
  <si>
    <t>Taxon</t>
  </si>
  <si>
    <t>Ks/m2</t>
  </si>
  <si>
    <t>Ks/bm</t>
  </si>
  <si>
    <t>Velikost</t>
  </si>
  <si>
    <t>Počet ks</t>
  </si>
  <si>
    <t xml:space="preserve">bda </t>
  </si>
  <si>
    <t>Buddleja davidii</t>
  </si>
  <si>
    <t>v 40-60, Ko</t>
  </si>
  <si>
    <t>har</t>
  </si>
  <si>
    <t>Hydrangea arborescens</t>
  </si>
  <si>
    <t>hca</t>
  </si>
  <si>
    <t>Hypericum calycinum</t>
  </si>
  <si>
    <t>v 20-30, Ko</t>
  </si>
  <si>
    <t>HS</t>
  </si>
  <si>
    <t>Hibiscus syriacus (na kmínku)</t>
  </si>
  <si>
    <t>12-14</t>
  </si>
  <si>
    <t>psu</t>
  </si>
  <si>
    <t>Paeonia suffruticosa</t>
  </si>
  <si>
    <t>rme</t>
  </si>
  <si>
    <t>Rosa ´Medeo´</t>
  </si>
  <si>
    <t>rpb</t>
  </si>
  <si>
    <t>Rosa ´Planten un Blomen´</t>
  </si>
  <si>
    <t>rrubdc</t>
  </si>
  <si>
    <r>
      <t>Rosa rugosa</t>
    </r>
    <r>
      <rPr>
        <sz val="8"/>
        <rFont val="Arial Narrow"/>
        <family val="2"/>
      </rPr>
      <t> ´Blanc Double de Coubert´</t>
    </r>
  </si>
  <si>
    <t>rwi</t>
  </si>
  <si>
    <t xml:space="preserve">Rosa ´Weisse Immensee´ </t>
  </si>
  <si>
    <t>rws</t>
  </si>
  <si>
    <t>Rosa ´Weg der Sinne´</t>
  </si>
  <si>
    <t>Lavandula angustifolia</t>
  </si>
  <si>
    <t>v 20-30, K9</t>
  </si>
  <si>
    <t>Z2: Záhon slunný</t>
  </si>
  <si>
    <t>rcr</t>
  </si>
  <si>
    <t>Rosa ´Cremosa´</t>
  </si>
  <si>
    <t>Geranium ´Rozanne´</t>
  </si>
  <si>
    <t>Z3: Záhon slunný</t>
  </si>
  <si>
    <t>Z4: Záhon slunný</t>
  </si>
  <si>
    <t>cabe</t>
  </si>
  <si>
    <t>Carpinus betulus</t>
  </si>
  <si>
    <t>Z5: Záhon stinný</t>
  </si>
  <si>
    <t>hpa</t>
  </si>
  <si>
    <t>Hydrangea paniculata</t>
  </si>
  <si>
    <t>hse</t>
  </si>
  <si>
    <t>Hydrangea serrata</t>
  </si>
  <si>
    <t>pla</t>
  </si>
  <si>
    <t>Prunus laurocerasus</t>
  </si>
  <si>
    <t>Anemone japonica ´Honorine Jobert´</t>
  </si>
  <si>
    <t>K12</t>
  </si>
  <si>
    <t>Brunnera macrophylla</t>
  </si>
  <si>
    <t>K9</t>
  </si>
  <si>
    <t>Campanula glomerata</t>
  </si>
  <si>
    <t>Epimedium pinnatum ssp. colchicum</t>
  </si>
  <si>
    <t>Euphorbia polychroma</t>
  </si>
  <si>
    <t>Hosta fortunei ´Obscura´</t>
  </si>
  <si>
    <t>Hosta plantaginea</t>
  </si>
  <si>
    <t>Ligularia stenocephalla</t>
  </si>
  <si>
    <t>Z6: Záhon stinný</t>
  </si>
  <si>
    <t>Z7: Záhon stinný</t>
  </si>
  <si>
    <t>Z8: Záhon stinný</t>
  </si>
  <si>
    <t>Z9: Záhon stinný</t>
  </si>
  <si>
    <t>Z10: Záhon slunný - parter</t>
  </si>
  <si>
    <t>Achillea millefolium ´Belle Epoque´</t>
  </si>
  <si>
    <t>Achillea millefolium ´Desert Eve Deep Red´</t>
  </si>
  <si>
    <t>Anemone hybrida ´Rotkäpchen´</t>
  </si>
  <si>
    <t>Aster dumosus ´Jenny´</t>
  </si>
  <si>
    <t>Echinacea ´Tomato Soup´</t>
  </si>
  <si>
    <t>Hydrangea macrophylla ´Hot Red´</t>
  </si>
  <si>
    <t>Paeonia lactiflora ´Red Charm´</t>
  </si>
  <si>
    <t>Lupinus the pages</t>
  </si>
  <si>
    <t>Allium ´Red Mohicane´</t>
  </si>
  <si>
    <t>5ks/skup.</t>
  </si>
  <si>
    <t>bal.cibulovin</t>
  </si>
  <si>
    <t>Hyacint ´Jan Bos´</t>
  </si>
  <si>
    <t>10ks/skup.</t>
  </si>
  <si>
    <t>Lilie Diabora</t>
  </si>
  <si>
    <t>Tulipa ´Bokhara´</t>
  </si>
  <si>
    <t>Aster dumosus  'Mittelmeer '</t>
  </si>
  <si>
    <t>Centaurea montana ´Grandiflora´</t>
  </si>
  <si>
    <t>Iris sibirica ´Silver Edge´</t>
  </si>
  <si>
    <t>Lupinus ´The Governor´</t>
  </si>
  <si>
    <t>Nepeta faassenii ´Kit Cat´</t>
  </si>
  <si>
    <t>Salvia nemorosa ´Blue Field´</t>
  </si>
  <si>
    <t>Allium caeruelum</t>
  </si>
  <si>
    <t>Muscari armeniacum</t>
  </si>
  <si>
    <t>20ks/skup.</t>
  </si>
  <si>
    <t>Scilla siberica</t>
  </si>
  <si>
    <t>Hyacint ´Sky Jacket´</t>
  </si>
  <si>
    <t>roIk</t>
  </si>
  <si>
    <t>Rosa na kmínku ´Innocencia´ - bílá</t>
  </si>
  <si>
    <t>v 60-90, Ko</t>
  </si>
  <si>
    <t>tcun</t>
  </si>
  <si>
    <t>Taxus cuspidata ´Nana´</t>
  </si>
  <si>
    <t>Z11: Záhon slunný- parter</t>
  </si>
  <si>
    <t>Z12: Záhon slunný- parter</t>
  </si>
  <si>
    <t>Z13: Záhon slunný- parter</t>
  </si>
  <si>
    <t>Z14: Záhon stinný</t>
  </si>
  <si>
    <t>heh</t>
  </si>
  <si>
    <t>Hedera helix</t>
  </si>
  <si>
    <t>Z15: Záhon slunný</t>
  </si>
  <si>
    <t>Rosa ´Innocencia´</t>
  </si>
  <si>
    <t>Z16: Záhon slunný</t>
  </si>
  <si>
    <t>Specifikace živých plotů k výsadbě</t>
  </si>
  <si>
    <t>Pozn.: Součástí projektu je i Kniha svítidel se specifikací jednotlivých typů osvětlení.</t>
  </si>
  <si>
    <t>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</si>
</sst>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(#,##0\._);;;_(@_)"/>
    <numFmt numFmtId="166" formatCode="_-* #,##0.00&quot; Kč&quot;_-;\-* #,##0.00&quot; Kč&quot;_-;_-* \-??&quot; Kč&quot;_-;_-@_-"/>
    <numFmt numFmtId="167" formatCode="0.0"/>
    <numFmt numFmtId="168" formatCode="#,##0.\-"/>
    <numFmt numFmtId="169" formatCode="_(#,##0.00_);[Red]&quot;- &quot;#,##0.00_);\–??;_(@_)"/>
    <numFmt numFmtId="170" formatCode="_(#,##0_);[Red]&quot;- &quot;#,##0_);\–??;_(@_)"/>
    <numFmt numFmtId="171" formatCode="_(#,##0.0??;&quot;- &quot;#,##0.0??;\–???;_(@_)"/>
    <numFmt numFmtId="172" formatCode="#,##0.0\ &quot;Kč&quot;"/>
    <numFmt numFmtId="173" formatCode="#,##0.00\ &quot;Kč&quot;"/>
    <numFmt numFmtId="174" formatCode="#,##0.0000"/>
  </numFmts>
  <fonts count="9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rgb="FF000000"/>
      <name val="Arial"/>
      <family val="2"/>
    </font>
    <font>
      <b/>
      <sz val="12"/>
      <color indexed="25"/>
      <name val="Arial"/>
      <family val="2"/>
    </font>
    <font>
      <b/>
      <u val="single"/>
      <sz val="14"/>
      <color theme="1"/>
      <name val="Calibri"/>
      <family val="2"/>
      <scheme val="minor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3"/>
      <color indexed="25"/>
      <name val="Arial"/>
      <family val="2"/>
    </font>
    <font>
      <b/>
      <sz val="11"/>
      <name val="Arial CE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 CE"/>
      <family val="2"/>
    </font>
    <font>
      <sz val="9"/>
      <color rgb="FF0070C0"/>
      <name val="Arial"/>
      <family val="2"/>
    </font>
    <font>
      <sz val="9"/>
      <color theme="8" tint="-0.2499700039625167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 CE"/>
      <family val="2"/>
    </font>
    <font>
      <b/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vertAlign val="superscript"/>
      <sz val="10"/>
      <color indexed="12"/>
      <name val="Arial"/>
      <family val="2"/>
    </font>
    <font>
      <sz val="10"/>
      <color rgb="FF0000FF"/>
      <name val="Arial CE"/>
      <family val="2"/>
    </font>
    <font>
      <i/>
      <sz val="7"/>
      <color rgb="FF969696"/>
      <name val="Arial CE"/>
      <family val="2"/>
    </font>
    <font>
      <sz val="11"/>
      <color rgb="FF0000FF"/>
      <name val="Calibri"/>
      <family val="2"/>
      <scheme val="minor"/>
    </font>
    <font>
      <b/>
      <sz val="12"/>
      <name val="Arial CE"/>
      <family val="2"/>
    </font>
    <font>
      <b/>
      <sz val="16"/>
      <color rgb="FFFF0000"/>
      <name val="Arial CE"/>
      <family val="2"/>
    </font>
    <font>
      <b/>
      <sz val="12"/>
      <color rgb="FFFF000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b/>
      <i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hair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4" fontId="27" fillId="0" borderId="0" applyFont="0" applyFill="0" applyBorder="0" applyAlignment="0" applyProtection="0"/>
    <xf numFmtId="0" fontId="27" fillId="0" borderId="0" applyProtection="0">
      <alignment/>
    </xf>
    <xf numFmtId="44" fontId="0" fillId="0" borderId="0" applyFont="0" applyFill="0" applyBorder="0" applyAlignment="0" applyProtection="0"/>
  </cellStyleXfs>
  <cellXfs count="947">
    <xf numFmtId="0" fontId="0" fillId="0" borderId="0" xfId="0"/>
    <xf numFmtId="0" fontId="5" fillId="0" borderId="0" xfId="0" applyFont="1"/>
    <xf numFmtId="164" fontId="3" fillId="0" borderId="0" xfId="20" applyNumberFormat="1" applyFont="1"/>
    <xf numFmtId="0" fontId="3" fillId="0" borderId="0" xfId="0" applyFont="1"/>
    <xf numFmtId="0" fontId="3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horizontal="left" vertical="center"/>
    </xf>
    <xf numFmtId="164" fontId="3" fillId="0" borderId="0" xfId="20" applyNumberFormat="1" applyFont="1" applyAlignment="1">
      <alignment wrapText="1"/>
    </xf>
    <xf numFmtId="49" fontId="3" fillId="0" borderId="0" xfId="20" applyNumberFormat="1" applyFont="1"/>
    <xf numFmtId="164" fontId="3" fillId="0" borderId="3" xfId="20" applyNumberFormat="1" applyFont="1" applyBorder="1" applyAlignment="1" applyProtection="1">
      <alignment horizontal="center"/>
      <protection locked="0"/>
    </xf>
    <xf numFmtId="164" fontId="4" fillId="0" borderId="3" xfId="2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4" fillId="0" borderId="6" xfId="20" applyNumberFormat="1" applyFont="1" applyBorder="1" applyAlignment="1" applyProtection="1">
      <alignment horizontal="center" vertical="center"/>
      <protection locked="0"/>
    </xf>
    <xf numFmtId="0" fontId="9" fillId="0" borderId="7" xfId="22" applyFont="1" applyBorder="1">
      <alignment/>
      <protection/>
    </xf>
    <xf numFmtId="0" fontId="9" fillId="0" borderId="7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8" xfId="22" applyFont="1" applyBorder="1" applyAlignment="1">
      <alignment vertical="center"/>
      <protection/>
    </xf>
    <xf numFmtId="49" fontId="13" fillId="2" borderId="9" xfId="22" applyNumberFormat="1" applyFont="1" applyFill="1" applyBorder="1" applyAlignment="1">
      <alignment horizontal="center" vertical="center"/>
      <protection/>
    </xf>
    <xf numFmtId="49" fontId="15" fillId="0" borderId="10" xfId="22" applyNumberFormat="1" applyFont="1" applyBorder="1" applyAlignment="1">
      <alignment horizontal="left" vertical="center"/>
      <protection/>
    </xf>
    <xf numFmtId="49" fontId="16" fillId="0" borderId="9" xfId="22" applyNumberFormat="1" applyFont="1" applyBorder="1" applyAlignment="1">
      <alignment horizontal="left" vertical="center"/>
      <protection/>
    </xf>
    <xf numFmtId="4" fontId="16" fillId="0" borderId="9" xfId="22" applyNumberFormat="1" applyFont="1" applyBorder="1" applyAlignment="1">
      <alignment horizontal="right" vertical="center"/>
      <protection/>
    </xf>
    <xf numFmtId="49" fontId="15" fillId="0" borderId="11" xfId="22" applyNumberFormat="1" applyFont="1" applyBorder="1" applyAlignment="1">
      <alignment horizontal="left" vertical="center"/>
      <protection/>
    </xf>
    <xf numFmtId="49" fontId="16" fillId="0" borderId="9" xfId="22" applyNumberFormat="1" applyFont="1" applyBorder="1" applyAlignment="1">
      <alignment horizontal="right" vertical="center"/>
      <protection/>
    </xf>
    <xf numFmtId="4" fontId="16" fillId="0" borderId="9" xfId="22" applyNumberFormat="1" applyFont="1" applyBorder="1" applyAlignment="1">
      <alignment horizontal="right" vertical="center"/>
      <protection/>
    </xf>
    <xf numFmtId="0" fontId="9" fillId="0" borderId="12" xfId="22" applyFont="1" applyBorder="1" applyAlignment="1">
      <alignment vertical="center"/>
      <protection/>
    </xf>
    <xf numFmtId="0" fontId="9" fillId="0" borderId="13" xfId="22" applyFont="1" applyBorder="1" applyAlignment="1">
      <alignment vertical="center"/>
      <protection/>
    </xf>
    <xf numFmtId="4" fontId="16" fillId="0" borderId="14" xfId="22" applyNumberFormat="1" applyFont="1" applyBorder="1" applyAlignment="1">
      <alignment horizontal="right" vertical="center"/>
      <protection/>
    </xf>
    <xf numFmtId="0" fontId="9" fillId="0" borderId="15" xfId="22" applyFont="1" applyBorder="1" applyAlignment="1">
      <alignment vertical="center"/>
      <protection/>
    </xf>
    <xf numFmtId="0" fontId="9" fillId="0" borderId="16" xfId="22" applyFont="1" applyBorder="1" applyAlignment="1">
      <alignment vertical="center"/>
      <protection/>
    </xf>
    <xf numFmtId="0" fontId="9" fillId="0" borderId="17" xfId="22" applyFont="1" applyBorder="1" applyAlignment="1">
      <alignment vertical="center"/>
      <protection/>
    </xf>
    <xf numFmtId="4" fontId="15" fillId="2" borderId="18" xfId="22" applyNumberFormat="1" applyFont="1" applyFill="1" applyBorder="1" applyAlignment="1">
      <alignment horizontal="right" vertical="center"/>
      <protection/>
    </xf>
    <xf numFmtId="0" fontId="9" fillId="0" borderId="19" xfId="22" applyFont="1" applyBorder="1" applyAlignment="1">
      <alignment vertical="center"/>
      <protection/>
    </xf>
    <xf numFmtId="0" fontId="9" fillId="0" borderId="20" xfId="22" applyFont="1" applyBorder="1" applyAlignment="1">
      <alignment vertical="center"/>
      <protection/>
    </xf>
    <xf numFmtId="0" fontId="9" fillId="0" borderId="21" xfId="22" applyFont="1" applyBorder="1" applyAlignment="1">
      <alignment vertical="center"/>
      <protection/>
    </xf>
    <xf numFmtId="49" fontId="18" fillId="0" borderId="22" xfId="22" applyNumberFormat="1" applyFont="1" applyBorder="1" applyAlignment="1">
      <alignment horizontal="left" vertical="center"/>
      <protection/>
    </xf>
    <xf numFmtId="0" fontId="9" fillId="0" borderId="22" xfId="22" applyFont="1" applyBorder="1" applyAlignment="1">
      <alignment vertical="center"/>
      <protection/>
    </xf>
    <xf numFmtId="0" fontId="19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" fillId="0" borderId="9" xfId="22" applyBorder="1">
      <alignment/>
      <protection/>
    </xf>
    <xf numFmtId="0" fontId="1" fillId="0" borderId="9" xfId="22" applyBorder="1" applyAlignment="1">
      <alignment horizontal="center"/>
      <protection/>
    </xf>
    <xf numFmtId="0" fontId="1" fillId="0" borderId="9" xfId="22" applyBorder="1" applyProtection="1">
      <alignment/>
      <protection locked="0"/>
    </xf>
    <xf numFmtId="0" fontId="11" fillId="0" borderId="0" xfId="22" applyFont="1" applyAlignment="1">
      <alignment vertical="center"/>
      <protection/>
    </xf>
    <xf numFmtId="49" fontId="1" fillId="3" borderId="22" xfId="22" applyNumberFormat="1" applyFont="1" applyFill="1" applyBorder="1" applyAlignment="1">
      <alignment horizontal="left" vertical="center"/>
      <protection/>
    </xf>
    <xf numFmtId="49" fontId="20" fillId="3" borderId="22" xfId="22" applyNumberFormat="1" applyFont="1" applyFill="1" applyBorder="1" applyAlignment="1">
      <alignment horizontal="left" vertical="center"/>
      <protection/>
    </xf>
    <xf numFmtId="4" fontId="20" fillId="3" borderId="22" xfId="22" applyNumberFormat="1" applyFont="1" applyFill="1" applyBorder="1" applyAlignment="1">
      <alignment horizontal="right" vertical="center"/>
      <protection/>
    </xf>
    <xf numFmtId="49" fontId="20" fillId="3" borderId="22" xfId="22" applyNumberFormat="1" applyFont="1" applyFill="1" applyBorder="1" applyAlignment="1">
      <alignment horizontal="right" vertical="center"/>
      <protection/>
    </xf>
    <xf numFmtId="49" fontId="1" fillId="3" borderId="0" xfId="22" applyNumberFormat="1" applyFont="1" applyFill="1" applyAlignment="1">
      <alignment horizontal="left" vertical="center"/>
      <protection/>
    </xf>
    <xf numFmtId="49" fontId="20" fillId="3" borderId="0" xfId="22" applyNumberFormat="1" applyFont="1" applyFill="1" applyAlignment="1">
      <alignment horizontal="left" vertical="center"/>
      <protection/>
    </xf>
    <xf numFmtId="4" fontId="20" fillId="3" borderId="0" xfId="22" applyNumberFormat="1" applyFont="1" applyFill="1" applyAlignment="1">
      <alignment horizontal="right" vertical="center"/>
      <protection/>
    </xf>
    <xf numFmtId="49" fontId="20" fillId="3" borderId="0" xfId="22" applyNumberFormat="1" applyFont="1" applyFill="1" applyAlignment="1">
      <alignment horizontal="right" vertical="center"/>
      <protection/>
    </xf>
    <xf numFmtId="0" fontId="1" fillId="0" borderId="0" xfId="22" applyFont="1" applyAlignment="1">
      <alignment vertical="center"/>
      <protection/>
    </xf>
    <xf numFmtId="0" fontId="1" fillId="0" borderId="8" xfId="22" applyFont="1" applyBorder="1" applyAlignment="1">
      <alignment vertical="center"/>
      <protection/>
    </xf>
    <xf numFmtId="49" fontId="20" fillId="0" borderId="23" xfId="22" applyNumberFormat="1" applyFont="1" applyBorder="1" applyAlignment="1">
      <alignment horizontal="left" vertical="center"/>
      <protection/>
    </xf>
    <xf numFmtId="49" fontId="20" fillId="0" borderId="24" xfId="22" applyNumberFormat="1" applyFont="1" applyBorder="1" applyAlignment="1">
      <alignment horizontal="left" vertical="center"/>
      <protection/>
    </xf>
    <xf numFmtId="49" fontId="20" fillId="0" borderId="24" xfId="22" applyNumberFormat="1" applyFont="1" applyBorder="1" applyAlignment="1">
      <alignment horizontal="center" vertical="center"/>
      <protection/>
    </xf>
    <xf numFmtId="49" fontId="20" fillId="0" borderId="25" xfId="22" applyNumberFormat="1" applyFont="1" applyBorder="1" applyAlignment="1">
      <alignment horizontal="center" vertical="center"/>
      <protection/>
    </xf>
    <xf numFmtId="49" fontId="20" fillId="0" borderId="26" xfId="22" applyNumberFormat="1" applyFont="1" applyBorder="1" applyAlignment="1">
      <alignment horizontal="center" vertical="center"/>
      <protection/>
    </xf>
    <xf numFmtId="0" fontId="1" fillId="0" borderId="21" xfId="22" applyFont="1" applyBorder="1" applyAlignment="1">
      <alignment vertical="center"/>
      <protection/>
    </xf>
    <xf numFmtId="49" fontId="1" fillId="0" borderId="27" xfId="22" applyNumberFormat="1" applyFont="1" applyBorder="1" applyAlignment="1">
      <alignment horizontal="left" vertical="center"/>
      <protection/>
    </xf>
    <xf numFmtId="49" fontId="1" fillId="0" borderId="28" xfId="22" applyNumberFormat="1" applyFont="1" applyBorder="1" applyAlignment="1">
      <alignment horizontal="left" vertical="center"/>
      <protection/>
    </xf>
    <xf numFmtId="49" fontId="20" fillId="0" borderId="29" xfId="22" applyNumberFormat="1" applyFont="1" applyBorder="1" applyAlignment="1">
      <alignment horizontal="center" vertical="center"/>
      <protection/>
    </xf>
    <xf numFmtId="49" fontId="20" fillId="0" borderId="2" xfId="22" applyNumberFormat="1" applyFont="1" applyBorder="1" applyAlignment="1">
      <alignment horizontal="center" vertical="center"/>
      <protection/>
    </xf>
    <xf numFmtId="49" fontId="20" fillId="0" borderId="14" xfId="22" applyNumberFormat="1" applyFont="1" applyBorder="1" applyAlignment="1">
      <alignment horizontal="center" vertical="center"/>
      <protection/>
    </xf>
    <xf numFmtId="49" fontId="20" fillId="0" borderId="30" xfId="22" applyNumberFormat="1" applyFont="1" applyBorder="1" applyAlignment="1">
      <alignment horizontal="center" vertical="center"/>
      <protection/>
    </xf>
    <xf numFmtId="49" fontId="20" fillId="0" borderId="31" xfId="22" applyNumberFormat="1" applyFont="1" applyBorder="1" applyAlignment="1">
      <alignment horizontal="center" vertical="center"/>
      <protection/>
    </xf>
    <xf numFmtId="49" fontId="20" fillId="4" borderId="0" xfId="22" applyNumberFormat="1" applyFont="1" applyFill="1" applyAlignment="1">
      <alignment horizontal="right" vertical="center"/>
      <protection/>
    </xf>
    <xf numFmtId="4" fontId="20" fillId="4" borderId="0" xfId="22" applyNumberFormat="1" applyFont="1" applyFill="1" applyAlignment="1">
      <alignment horizontal="right" vertical="center"/>
      <protection/>
    </xf>
    <xf numFmtId="49" fontId="1" fillId="0" borderId="0" xfId="22" applyNumberFormat="1" applyFont="1" applyAlignment="1">
      <alignment horizontal="left" vertical="center"/>
      <protection/>
    </xf>
    <xf numFmtId="4" fontId="1" fillId="0" borderId="0" xfId="22" applyNumberFormat="1" applyFont="1" applyAlignment="1">
      <alignment horizontal="right" vertical="center"/>
      <protection/>
    </xf>
    <xf numFmtId="49" fontId="1" fillId="0" borderId="0" xfId="22" applyNumberFormat="1" applyFont="1" applyAlignment="1">
      <alignment horizontal="right" vertical="center"/>
      <protection/>
    </xf>
    <xf numFmtId="49" fontId="1" fillId="5" borderId="32" xfId="22" applyNumberFormat="1" applyFont="1" applyFill="1" applyBorder="1" applyAlignment="1">
      <alignment horizontal="left" vertical="center"/>
      <protection/>
    </xf>
    <xf numFmtId="4" fontId="1" fillId="5" borderId="32" xfId="22" applyNumberFormat="1" applyFont="1" applyFill="1" applyBorder="1" applyAlignment="1">
      <alignment horizontal="right" vertical="center"/>
      <protection/>
    </xf>
    <xf numFmtId="49" fontId="1" fillId="5" borderId="33" xfId="22" applyNumberFormat="1" applyFont="1" applyFill="1" applyBorder="1" applyAlignment="1">
      <alignment horizontal="right" vertical="center"/>
      <protection/>
    </xf>
    <xf numFmtId="49" fontId="22" fillId="0" borderId="0" xfId="22" applyNumberFormat="1" applyFont="1" applyAlignment="1">
      <alignment horizontal="right" vertical="top"/>
      <protection/>
    </xf>
    <xf numFmtId="49" fontId="1" fillId="5" borderId="34" xfId="22" applyNumberFormat="1" applyFont="1" applyFill="1" applyBorder="1" applyAlignment="1">
      <alignment horizontal="left" vertical="center"/>
      <protection/>
    </xf>
    <xf numFmtId="4" fontId="1" fillId="5" borderId="34" xfId="22" applyNumberFormat="1" applyFont="1" applyFill="1" applyBorder="1" applyAlignment="1">
      <alignment horizontal="right" vertical="center"/>
      <protection/>
    </xf>
    <xf numFmtId="49" fontId="1" fillId="5" borderId="35" xfId="22" applyNumberFormat="1" applyFont="1" applyFill="1" applyBorder="1" applyAlignment="1">
      <alignment horizontal="right" vertical="center"/>
      <protection/>
    </xf>
    <xf numFmtId="49" fontId="1" fillId="6" borderId="32" xfId="22" applyNumberFormat="1" applyFont="1" applyFill="1" applyBorder="1" applyAlignment="1">
      <alignment horizontal="left" vertical="center"/>
      <protection/>
    </xf>
    <xf numFmtId="49" fontId="20" fillId="6" borderId="32" xfId="22" applyNumberFormat="1" applyFont="1" applyFill="1" applyBorder="1" applyAlignment="1">
      <alignment horizontal="left" vertical="center"/>
      <protection/>
    </xf>
    <xf numFmtId="4" fontId="20" fillId="6" borderId="32" xfId="22" applyNumberFormat="1" applyFont="1" applyFill="1" applyBorder="1" applyAlignment="1">
      <alignment horizontal="right" vertical="center"/>
      <protection/>
    </xf>
    <xf numFmtId="49" fontId="20" fillId="6" borderId="33" xfId="22" applyNumberFormat="1" applyFont="1" applyFill="1" applyBorder="1" applyAlignment="1">
      <alignment horizontal="right" vertical="center"/>
      <protection/>
    </xf>
    <xf numFmtId="0" fontId="1" fillId="0" borderId="7" xfId="22" applyFont="1" applyBorder="1" applyAlignment="1">
      <alignment vertical="center"/>
      <protection/>
    </xf>
    <xf numFmtId="49" fontId="22" fillId="0" borderId="7" xfId="22" applyNumberFormat="1" applyFont="1" applyBorder="1" applyAlignment="1">
      <alignment horizontal="right" vertical="top"/>
      <protection/>
    </xf>
    <xf numFmtId="0" fontId="1" fillId="0" borderId="12" xfId="22" applyFont="1" applyBorder="1" applyAlignment="1">
      <alignment vertical="center"/>
      <protection/>
    </xf>
    <xf numFmtId="4" fontId="20" fillId="0" borderId="12" xfId="22" applyNumberFormat="1" applyFont="1" applyBorder="1" applyAlignment="1">
      <alignment horizontal="right" vertical="center"/>
      <protection/>
    </xf>
    <xf numFmtId="49" fontId="23" fillId="0" borderId="0" xfId="22" applyNumberFormat="1" applyFont="1" applyAlignment="1">
      <alignment horizontal="left" vertical="center"/>
      <protection/>
    </xf>
    <xf numFmtId="49" fontId="1" fillId="7" borderId="0" xfId="22" applyNumberFormat="1" applyFont="1" applyFill="1" applyAlignment="1">
      <alignment horizontal="left" vertical="center"/>
      <protection/>
    </xf>
    <xf numFmtId="49" fontId="20" fillId="7" borderId="0" xfId="22" applyNumberFormat="1" applyFont="1" applyFill="1" applyAlignment="1">
      <alignment horizontal="left" vertical="center"/>
      <protection/>
    </xf>
    <xf numFmtId="4" fontId="20" fillId="7" borderId="0" xfId="22" applyNumberFormat="1" applyFont="1" applyFill="1" applyAlignment="1">
      <alignment horizontal="right" vertical="center"/>
      <protection/>
    </xf>
    <xf numFmtId="49" fontId="20" fillId="7" borderId="0" xfId="22" applyNumberFormat="1" applyFont="1" applyFill="1" applyAlignment="1">
      <alignment horizontal="right" vertical="center"/>
      <protection/>
    </xf>
    <xf numFmtId="4" fontId="20" fillId="0" borderId="0" xfId="22" applyNumberFormat="1" applyFont="1" applyFill="1" applyAlignment="1">
      <alignment horizontal="right" vertical="center"/>
      <protection/>
    </xf>
    <xf numFmtId="49" fontId="20" fillId="0" borderId="0" xfId="22" applyNumberFormat="1" applyFont="1" applyFill="1" applyAlignment="1">
      <alignment horizontal="right" vertical="center"/>
      <protection/>
    </xf>
    <xf numFmtId="0" fontId="1" fillId="0" borderId="0" xfId="22" applyFont="1" applyFill="1" applyAlignment="1">
      <alignment vertical="center"/>
      <protection/>
    </xf>
    <xf numFmtId="49" fontId="1" fillId="8" borderId="0" xfId="22" applyNumberFormat="1" applyFont="1" applyFill="1" applyAlignment="1">
      <alignment horizontal="left" vertical="center"/>
      <protection/>
    </xf>
    <xf numFmtId="49" fontId="20" fillId="8" borderId="0" xfId="22" applyNumberFormat="1" applyFont="1" applyFill="1" applyAlignment="1">
      <alignment horizontal="left" vertical="center"/>
      <protection/>
    </xf>
    <xf numFmtId="4" fontId="20" fillId="8" borderId="0" xfId="22" applyNumberFormat="1" applyFont="1" applyFill="1" applyAlignment="1">
      <alignment horizontal="right" vertical="center"/>
      <protection/>
    </xf>
    <xf numFmtId="49" fontId="20" fillId="8" borderId="0" xfId="22" applyNumberFormat="1" applyFont="1" applyFill="1" applyAlignment="1">
      <alignment horizontal="right" vertical="center"/>
      <protection/>
    </xf>
    <xf numFmtId="0" fontId="9" fillId="0" borderId="7" xfId="21" applyFont="1" applyBorder="1">
      <alignment/>
      <protection/>
    </xf>
    <xf numFmtId="0" fontId="9" fillId="0" borderId="7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49" fontId="13" fillId="2" borderId="9" xfId="21" applyNumberFormat="1" applyFont="1" applyFill="1" applyBorder="1" applyAlignment="1">
      <alignment horizontal="center" vertical="center"/>
      <protection/>
    </xf>
    <xf numFmtId="49" fontId="15" fillId="0" borderId="10" xfId="21" applyNumberFormat="1" applyFont="1" applyBorder="1" applyAlignment="1">
      <alignment horizontal="left" vertical="center"/>
      <protection/>
    </xf>
    <xf numFmtId="49" fontId="16" fillId="0" borderId="9" xfId="21" applyNumberFormat="1" applyFont="1" applyBorder="1" applyAlignment="1">
      <alignment horizontal="left" vertical="center"/>
      <protection/>
    </xf>
    <xf numFmtId="4" fontId="16" fillId="0" borderId="9" xfId="21" applyNumberFormat="1" applyFont="1" applyBorder="1" applyAlignment="1">
      <alignment horizontal="right" vertical="center"/>
      <protection/>
    </xf>
    <xf numFmtId="49" fontId="15" fillId="0" borderId="11" xfId="21" applyNumberFormat="1" applyFont="1" applyBorder="1" applyAlignment="1">
      <alignment horizontal="left" vertical="center"/>
      <protection/>
    </xf>
    <xf numFmtId="49" fontId="16" fillId="0" borderId="9" xfId="21" applyNumberFormat="1" applyFont="1" applyBorder="1" applyAlignment="1">
      <alignment horizontal="right" vertical="center"/>
      <protection/>
    </xf>
    <xf numFmtId="0" fontId="9" fillId="0" borderId="12" xfId="21" applyFont="1" applyBorder="1" applyAlignment="1">
      <alignment vertical="center"/>
      <protection/>
    </xf>
    <xf numFmtId="0" fontId="9" fillId="0" borderId="13" xfId="21" applyFont="1" applyBorder="1" applyAlignment="1">
      <alignment vertical="center"/>
      <protection/>
    </xf>
    <xf numFmtId="4" fontId="16" fillId="0" borderId="14" xfId="21" applyNumberFormat="1" applyFont="1" applyBorder="1" applyAlignment="1">
      <alignment horizontal="right" vertical="center"/>
      <protection/>
    </xf>
    <xf numFmtId="0" fontId="9" fillId="0" borderId="15" xfId="21" applyFont="1" applyBorder="1" applyAlignment="1">
      <alignment vertical="center"/>
      <protection/>
    </xf>
    <xf numFmtId="0" fontId="9" fillId="0" borderId="16" xfId="21" applyFont="1" applyBorder="1" applyAlignment="1">
      <alignment vertical="center"/>
      <protection/>
    </xf>
    <xf numFmtId="0" fontId="9" fillId="0" borderId="17" xfId="21" applyFont="1" applyBorder="1" applyAlignment="1">
      <alignment vertical="center"/>
      <protection/>
    </xf>
    <xf numFmtId="4" fontId="15" fillId="2" borderId="18" xfId="21" applyNumberFormat="1" applyFont="1" applyFill="1" applyBorder="1" applyAlignment="1">
      <alignment horizontal="right" vertical="center"/>
      <protection/>
    </xf>
    <xf numFmtId="0" fontId="9" fillId="0" borderId="19" xfId="21" applyFont="1" applyBorder="1" applyAlignment="1">
      <alignment vertical="center"/>
      <protection/>
    </xf>
    <xf numFmtId="0" fontId="9" fillId="0" borderId="20" xfId="21" applyFont="1" applyBorder="1" applyAlignment="1">
      <alignment vertical="center"/>
      <protection/>
    </xf>
    <xf numFmtId="0" fontId="9" fillId="0" borderId="21" xfId="21" applyFont="1" applyBorder="1" applyAlignment="1">
      <alignment vertical="center"/>
      <protection/>
    </xf>
    <xf numFmtId="49" fontId="18" fillId="0" borderId="22" xfId="21" applyNumberFormat="1" applyFont="1" applyBorder="1" applyAlignment="1">
      <alignment horizontal="left" vertical="center"/>
      <protection/>
    </xf>
    <xf numFmtId="0" fontId="9" fillId="0" borderId="22" xfId="2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8" xfId="21" applyFont="1" applyBorder="1" applyAlignment="1">
      <alignment vertical="center"/>
      <protection/>
    </xf>
    <xf numFmtId="49" fontId="20" fillId="0" borderId="23" xfId="21" applyNumberFormat="1" applyFont="1" applyBorder="1" applyAlignment="1">
      <alignment horizontal="left" vertical="center"/>
      <protection/>
    </xf>
    <xf numFmtId="49" fontId="20" fillId="0" borderId="24" xfId="21" applyNumberFormat="1" applyFont="1" applyBorder="1" applyAlignment="1">
      <alignment horizontal="left" vertical="center"/>
      <protection/>
    </xf>
    <xf numFmtId="49" fontId="20" fillId="0" borderId="24" xfId="21" applyNumberFormat="1" applyFont="1" applyBorder="1" applyAlignment="1">
      <alignment horizontal="center" vertical="center"/>
      <protection/>
    </xf>
    <xf numFmtId="49" fontId="20" fillId="0" borderId="25" xfId="21" applyNumberFormat="1" applyFont="1" applyBorder="1" applyAlignment="1">
      <alignment horizontal="center" vertical="center"/>
      <protection/>
    </xf>
    <xf numFmtId="49" fontId="20" fillId="0" borderId="26" xfId="21" applyNumberFormat="1" applyFont="1" applyBorder="1" applyAlignment="1">
      <alignment horizontal="center" vertical="center"/>
      <protection/>
    </xf>
    <xf numFmtId="0" fontId="1" fillId="0" borderId="21" xfId="21" applyFont="1" applyBorder="1" applyAlignment="1">
      <alignment vertical="center"/>
      <protection/>
    </xf>
    <xf numFmtId="49" fontId="1" fillId="0" borderId="27" xfId="21" applyNumberFormat="1" applyFont="1" applyBorder="1" applyAlignment="1">
      <alignment horizontal="left" vertical="center"/>
      <protection/>
    </xf>
    <xf numFmtId="49" fontId="1" fillId="0" borderId="28" xfId="21" applyNumberFormat="1" applyFont="1" applyBorder="1" applyAlignment="1">
      <alignment horizontal="left" vertical="center"/>
      <protection/>
    </xf>
    <xf numFmtId="49" fontId="20" fillId="0" borderId="29" xfId="21" applyNumberFormat="1" applyFont="1" applyBorder="1" applyAlignment="1">
      <alignment horizontal="center" vertical="center"/>
      <protection/>
    </xf>
    <xf numFmtId="49" fontId="20" fillId="0" borderId="2" xfId="21" applyNumberFormat="1" applyFont="1" applyBorder="1" applyAlignment="1">
      <alignment horizontal="center" vertical="center"/>
      <protection/>
    </xf>
    <xf numFmtId="49" fontId="20" fillId="0" borderId="14" xfId="21" applyNumberFormat="1" applyFont="1" applyBorder="1" applyAlignment="1">
      <alignment horizontal="center" vertical="center"/>
      <protection/>
    </xf>
    <xf numFmtId="49" fontId="20" fillId="0" borderId="30" xfId="21" applyNumberFormat="1" applyFont="1" applyBorder="1" applyAlignment="1">
      <alignment horizontal="center" vertical="center"/>
      <protection/>
    </xf>
    <xf numFmtId="49" fontId="20" fillId="0" borderId="31" xfId="21" applyNumberFormat="1" applyFont="1" applyBorder="1" applyAlignment="1">
      <alignment horizontal="center" vertical="center"/>
      <protection/>
    </xf>
    <xf numFmtId="49" fontId="20" fillId="4" borderId="0" xfId="21" applyNumberFormat="1" applyFont="1" applyFill="1" applyAlignment="1">
      <alignment horizontal="right" vertical="center"/>
      <protection/>
    </xf>
    <xf numFmtId="4" fontId="20" fillId="4" borderId="0" xfId="21" applyNumberFormat="1" applyFont="1" applyFill="1" applyAlignment="1">
      <alignment horizontal="right" vertical="center"/>
      <protection/>
    </xf>
    <xf numFmtId="49" fontId="1" fillId="0" borderId="0" xfId="21" applyNumberFormat="1" applyFont="1" applyAlignment="1">
      <alignment horizontal="left" vertical="center"/>
      <protection/>
    </xf>
    <xf numFmtId="4" fontId="1" fillId="0" borderId="0" xfId="21" applyNumberFormat="1" applyFont="1" applyAlignment="1">
      <alignment horizontal="right" vertical="center"/>
      <protection/>
    </xf>
    <xf numFmtId="49" fontId="1" fillId="0" borderId="0" xfId="21" applyNumberFormat="1" applyFont="1" applyAlignment="1">
      <alignment horizontal="right" vertical="center"/>
      <protection/>
    </xf>
    <xf numFmtId="49" fontId="22" fillId="0" borderId="0" xfId="21" applyNumberFormat="1" applyFont="1" applyAlignment="1">
      <alignment horizontal="right" vertical="top"/>
      <protection/>
    </xf>
    <xf numFmtId="49" fontId="1" fillId="5" borderId="32" xfId="21" applyNumberFormat="1" applyFont="1" applyFill="1" applyBorder="1" applyAlignment="1">
      <alignment horizontal="left" vertical="center"/>
      <protection/>
    </xf>
    <xf numFmtId="4" fontId="1" fillId="5" borderId="32" xfId="21" applyNumberFormat="1" applyFont="1" applyFill="1" applyBorder="1" applyAlignment="1">
      <alignment horizontal="right" vertical="center"/>
      <protection/>
    </xf>
    <xf numFmtId="49" fontId="1" fillId="5" borderId="33" xfId="21" applyNumberFormat="1" applyFont="1" applyFill="1" applyBorder="1" applyAlignment="1">
      <alignment horizontal="right" vertical="center"/>
      <protection/>
    </xf>
    <xf numFmtId="0" fontId="1" fillId="0" borderId="12" xfId="21" applyFont="1" applyBorder="1" applyAlignment="1">
      <alignment vertical="center"/>
      <protection/>
    </xf>
    <xf numFmtId="4" fontId="20" fillId="0" borderId="12" xfId="21" applyNumberFormat="1" applyFont="1" applyBorder="1" applyAlignment="1">
      <alignment horizontal="right" vertical="center"/>
      <protection/>
    </xf>
    <xf numFmtId="49" fontId="23" fillId="0" borderId="0" xfId="21" applyNumberFormat="1" applyFont="1" applyAlignment="1">
      <alignment horizontal="left" vertical="center"/>
      <protection/>
    </xf>
    <xf numFmtId="49" fontId="1" fillId="3" borderId="22" xfId="21" applyNumberFormat="1" applyFont="1" applyFill="1" applyBorder="1" applyAlignment="1">
      <alignment horizontal="left" vertical="center"/>
      <protection/>
    </xf>
    <xf numFmtId="49" fontId="20" fillId="3" borderId="22" xfId="21" applyNumberFormat="1" applyFont="1" applyFill="1" applyBorder="1" applyAlignment="1">
      <alignment horizontal="left" vertical="center"/>
      <protection/>
    </xf>
    <xf numFmtId="4" fontId="20" fillId="3" borderId="22" xfId="21" applyNumberFormat="1" applyFont="1" applyFill="1" applyBorder="1" applyAlignment="1">
      <alignment horizontal="right" vertical="center"/>
      <protection/>
    </xf>
    <xf numFmtId="49" fontId="20" fillId="3" borderId="22" xfId="21" applyNumberFormat="1" applyFont="1" applyFill="1" applyBorder="1" applyAlignment="1">
      <alignment horizontal="right" vertical="center"/>
      <protection/>
    </xf>
    <xf numFmtId="49" fontId="1" fillId="3" borderId="0" xfId="21" applyNumberFormat="1" applyFont="1" applyFill="1" applyAlignment="1">
      <alignment horizontal="left" vertical="center"/>
      <protection/>
    </xf>
    <xf numFmtId="49" fontId="20" fillId="3" borderId="0" xfId="21" applyNumberFormat="1" applyFont="1" applyFill="1" applyAlignment="1">
      <alignment horizontal="left" vertical="center"/>
      <protection/>
    </xf>
    <xf numFmtId="4" fontId="20" fillId="3" borderId="0" xfId="21" applyNumberFormat="1" applyFont="1" applyFill="1" applyAlignment="1">
      <alignment horizontal="right" vertical="center"/>
      <protection/>
    </xf>
    <xf numFmtId="49" fontId="20" fillId="3" borderId="0" xfId="21" applyNumberFormat="1" applyFont="1" applyFill="1" applyAlignment="1">
      <alignment horizontal="right" vertical="center"/>
      <protection/>
    </xf>
    <xf numFmtId="49" fontId="1" fillId="7" borderId="0" xfId="21" applyNumberFormat="1" applyFont="1" applyFill="1" applyAlignment="1">
      <alignment horizontal="left" vertical="center"/>
      <protection/>
    </xf>
    <xf numFmtId="49" fontId="20" fillId="7" borderId="0" xfId="21" applyNumberFormat="1" applyFont="1" applyFill="1" applyAlignment="1">
      <alignment horizontal="left" vertical="center"/>
      <protection/>
    </xf>
    <xf numFmtId="4" fontId="20" fillId="7" borderId="0" xfId="21" applyNumberFormat="1" applyFont="1" applyFill="1" applyAlignment="1">
      <alignment horizontal="right" vertical="center"/>
      <protection/>
    </xf>
    <xf numFmtId="49" fontId="20" fillId="7" borderId="0" xfId="21" applyNumberFormat="1" applyFont="1" applyFill="1" applyAlignment="1">
      <alignment horizontal="right" vertical="center"/>
      <protection/>
    </xf>
    <xf numFmtId="49" fontId="13" fillId="2" borderId="10" xfId="21" applyNumberFormat="1" applyFont="1" applyFill="1" applyBorder="1" applyAlignment="1">
      <alignment horizontal="center" vertical="center"/>
      <protection/>
    </xf>
    <xf numFmtId="49" fontId="15" fillId="0" borderId="36" xfId="21" applyNumberFormat="1" applyFont="1" applyBorder="1" applyAlignment="1">
      <alignment horizontal="left" vertical="center"/>
      <protection/>
    </xf>
    <xf numFmtId="49" fontId="16" fillId="0" borderId="12" xfId="21" applyNumberFormat="1" applyFont="1" applyBorder="1" applyAlignment="1">
      <alignment horizontal="left" vertical="center"/>
      <protection/>
    </xf>
    <xf numFmtId="4" fontId="16" fillId="0" borderId="13" xfId="21" applyNumberFormat="1" applyFont="1" applyBorder="1" applyAlignment="1">
      <alignment horizontal="right" vertical="center"/>
      <protection/>
    </xf>
    <xf numFmtId="49" fontId="15" fillId="0" borderId="8" xfId="21" applyNumberFormat="1" applyFont="1" applyBorder="1" applyAlignment="1">
      <alignment horizontal="left" vertical="center"/>
      <protection/>
    </xf>
    <xf numFmtId="49" fontId="16" fillId="0" borderId="0" xfId="21" applyNumberFormat="1" applyFont="1" applyAlignment="1">
      <alignment horizontal="left" vertical="center"/>
      <protection/>
    </xf>
    <xf numFmtId="4" fontId="16" fillId="0" borderId="17" xfId="21" applyNumberFormat="1" applyFont="1" applyBorder="1" applyAlignment="1">
      <alignment horizontal="right" vertical="center"/>
      <protection/>
    </xf>
    <xf numFmtId="4" fontId="16" fillId="0" borderId="37" xfId="21" applyNumberFormat="1" applyFont="1" applyBorder="1" applyAlignment="1">
      <alignment horizontal="right" vertical="center"/>
      <protection/>
    </xf>
    <xf numFmtId="4" fontId="16" fillId="0" borderId="11" xfId="21" applyNumberFormat="1" applyFont="1" applyBorder="1" applyAlignment="1">
      <alignment horizontal="right" vertical="center"/>
      <protection/>
    </xf>
    <xf numFmtId="4" fontId="16" fillId="0" borderId="0" xfId="21" applyNumberFormat="1" applyFont="1" applyAlignment="1">
      <alignment horizontal="right" vertical="center"/>
      <protection/>
    </xf>
    <xf numFmtId="165" fontId="25" fillId="0" borderId="0" xfId="0" applyNumberFormat="1" applyFont="1"/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27" fillId="0" borderId="0" xfId="23" applyNumberFormat="1" applyAlignment="1">
      <alignment horizontal="right" vertical="center"/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5" fillId="0" borderId="0" xfId="0" applyNumberFormat="1" applyFont="1"/>
    <xf numFmtId="49" fontId="30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0" fontId="27" fillId="0" borderId="0" xfId="23" applyAlignment="1">
      <alignment horizontal="right"/>
      <protection/>
    </xf>
    <xf numFmtId="168" fontId="31" fillId="0" borderId="0" xfId="0" applyNumberFormat="1" applyFont="1" applyAlignment="1">
      <alignment horizontal="right"/>
    </xf>
    <xf numFmtId="49" fontId="32" fillId="0" borderId="38" xfId="0" applyNumberFormat="1" applyFont="1" applyBorder="1" applyAlignment="1">
      <alignment horizontal="center" wrapText="1"/>
    </xf>
    <xf numFmtId="49" fontId="32" fillId="0" borderId="38" xfId="0" applyNumberFormat="1" applyFont="1" applyBorder="1" applyAlignment="1">
      <alignment wrapText="1"/>
    </xf>
    <xf numFmtId="49" fontId="32" fillId="0" borderId="38" xfId="0" applyNumberFormat="1" applyFont="1" applyBorder="1" applyAlignment="1">
      <alignment horizontal="left" wrapText="1"/>
    </xf>
    <xf numFmtId="2" fontId="32" fillId="0" borderId="38" xfId="0" applyNumberFormat="1" applyFont="1" applyBorder="1" applyAlignment="1">
      <alignment horizontal="center" wrapText="1"/>
    </xf>
    <xf numFmtId="167" fontId="32" fillId="0" borderId="38" xfId="0" applyNumberFormat="1" applyFont="1" applyBorder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 wrapText="1"/>
    </xf>
    <xf numFmtId="49" fontId="33" fillId="0" borderId="39" xfId="0" applyNumberFormat="1" applyFont="1" applyBorder="1" applyAlignment="1">
      <alignment horizontal="left" wrapText="1"/>
    </xf>
    <xf numFmtId="49" fontId="32" fillId="0" borderId="39" xfId="0" applyNumberFormat="1" applyFont="1" applyBorder="1" applyAlignment="1">
      <alignment horizontal="center" wrapText="1"/>
    </xf>
    <xf numFmtId="2" fontId="32" fillId="0" borderId="39" xfId="0" applyNumberFormat="1" applyFont="1" applyBorder="1" applyAlignment="1">
      <alignment horizontal="center" wrapText="1"/>
    </xf>
    <xf numFmtId="167" fontId="25" fillId="0" borderId="0" xfId="0" applyNumberFormat="1" applyFont="1" applyAlignment="1" applyProtection="1">
      <alignment horizontal="center"/>
      <protection locked="0"/>
    </xf>
    <xf numFmtId="169" fontId="25" fillId="0" borderId="0" xfId="0" applyNumberFormat="1" applyFont="1" applyAlignment="1" applyProtection="1">
      <alignment horizontal="center"/>
      <protection locked="0"/>
    </xf>
    <xf numFmtId="170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20" fillId="0" borderId="0" xfId="0" applyNumberFormat="1" applyFont="1" applyAlignment="1" applyProtection="1">
      <alignment horizontal="center"/>
      <protection locked="0"/>
    </xf>
    <xf numFmtId="169" fontId="20" fillId="0" borderId="0" xfId="0" applyNumberFormat="1" applyFont="1" applyAlignment="1" applyProtection="1">
      <alignment horizontal="center"/>
      <protection locked="0"/>
    </xf>
    <xf numFmtId="170" fontId="20" fillId="0" borderId="0" xfId="0" applyNumberFormat="1" applyFont="1" applyAlignment="1">
      <alignment horizontal="center" vertical="center"/>
    </xf>
    <xf numFmtId="165" fontId="20" fillId="0" borderId="40" xfId="0" applyNumberFormat="1" applyFont="1" applyBorder="1" applyAlignment="1">
      <alignment vertical="center"/>
    </xf>
    <xf numFmtId="49" fontId="20" fillId="0" borderId="40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left" wrapText="1"/>
    </xf>
    <xf numFmtId="49" fontId="20" fillId="0" borderId="40" xfId="0" applyNumberFormat="1" applyFont="1" applyBorder="1" applyAlignment="1">
      <alignment horizontal="center" vertical="center"/>
    </xf>
    <xf numFmtId="2" fontId="20" fillId="0" borderId="40" xfId="0" applyNumberFormat="1" applyFont="1" applyBorder="1" applyAlignment="1">
      <alignment horizontal="center" vertical="center"/>
    </xf>
    <xf numFmtId="167" fontId="20" fillId="0" borderId="40" xfId="0" applyNumberFormat="1" applyFont="1" applyBorder="1" applyAlignment="1" applyProtection="1">
      <alignment horizontal="center" vertical="center"/>
      <protection locked="0"/>
    </xf>
    <xf numFmtId="171" fontId="20" fillId="0" borderId="40" xfId="0" applyNumberFormat="1" applyFont="1" applyBorder="1" applyAlignment="1" applyProtection="1">
      <alignment horizontal="center" vertical="center"/>
      <protection locked="0"/>
    </xf>
    <xf numFmtId="170" fontId="20" fillId="0" borderId="40" xfId="0" applyNumberFormat="1" applyFont="1" applyBorder="1" applyAlignment="1">
      <alignment horizontal="center" vertical="center"/>
    </xf>
    <xf numFmtId="165" fontId="34" fillId="0" borderId="41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left" vertical="center" wrapText="1"/>
    </xf>
    <xf numFmtId="2" fontId="34" fillId="0" borderId="41" xfId="0" applyNumberFormat="1" applyFont="1" applyBorder="1" applyAlignment="1">
      <alignment horizontal="center" vertical="center"/>
    </xf>
    <xf numFmtId="167" fontId="36" fillId="0" borderId="41" xfId="0" applyNumberFormat="1" applyFont="1" applyBorder="1" applyAlignment="1" applyProtection="1">
      <alignment horizontal="center" vertical="center"/>
      <protection locked="0"/>
    </xf>
    <xf numFmtId="167" fontId="34" fillId="0" borderId="41" xfId="0" applyNumberFormat="1" applyFont="1" applyBorder="1" applyAlignment="1">
      <alignment horizontal="center" vertical="center" wrapText="1"/>
    </xf>
    <xf numFmtId="49" fontId="37" fillId="0" borderId="41" xfId="0" applyNumberFormat="1" applyFont="1" applyBorder="1" applyAlignment="1">
      <alignment horizontal="left" vertical="center" wrapText="1"/>
    </xf>
    <xf numFmtId="165" fontId="34" fillId="0" borderId="42" xfId="0" applyNumberFormat="1" applyFont="1" applyBorder="1" applyAlignment="1">
      <alignment horizontal="center" vertical="center"/>
    </xf>
    <xf numFmtId="49" fontId="34" fillId="0" borderId="42" xfId="0" applyNumberFormat="1" applyFont="1" applyBorder="1" applyAlignment="1">
      <alignment horizontal="center" vertical="center"/>
    </xf>
    <xf numFmtId="49" fontId="34" fillId="0" borderId="42" xfId="0" applyNumberFormat="1" applyFont="1" applyBorder="1" applyAlignment="1">
      <alignment horizontal="left" vertical="center" wrapText="1"/>
    </xf>
    <xf numFmtId="2" fontId="34" fillId="0" borderId="42" xfId="0" applyNumberFormat="1" applyFont="1" applyBorder="1" applyAlignment="1">
      <alignment horizontal="center" vertical="center"/>
    </xf>
    <xf numFmtId="167" fontId="20" fillId="0" borderId="42" xfId="0" applyNumberFormat="1" applyFont="1" applyBorder="1" applyAlignment="1" applyProtection="1">
      <alignment horizontal="center" vertical="center"/>
      <protection locked="0"/>
    </xf>
    <xf numFmtId="167" fontId="20" fillId="0" borderId="42" xfId="0" applyNumberFormat="1" applyFont="1" applyBorder="1" applyAlignment="1">
      <alignment horizontal="center" vertical="center"/>
    </xf>
    <xf numFmtId="49" fontId="38" fillId="0" borderId="42" xfId="0" applyNumberFormat="1" applyFont="1" applyBorder="1" applyAlignment="1">
      <alignment horizontal="left" vertical="center" wrapText="1"/>
    </xf>
    <xf numFmtId="167" fontId="20" fillId="0" borderId="40" xfId="0" applyNumberFormat="1" applyFont="1" applyBorder="1" applyAlignment="1">
      <alignment horizontal="center" vertical="center"/>
    </xf>
    <xf numFmtId="171" fontId="36" fillId="0" borderId="41" xfId="0" applyNumberFormat="1" applyFont="1" applyBorder="1" applyAlignment="1">
      <alignment horizontal="center" vertical="center"/>
    </xf>
    <xf numFmtId="167" fontId="34" fillId="0" borderId="41" xfId="0" applyNumberFormat="1" applyFont="1" applyBorder="1" applyAlignment="1" applyProtection="1">
      <alignment horizontal="center" vertical="center"/>
      <protection locked="0"/>
    </xf>
    <xf numFmtId="171" fontId="36" fillId="0" borderId="42" xfId="0" applyNumberFormat="1" applyFont="1" applyBorder="1" applyAlignment="1">
      <alignment horizontal="center" vertical="center"/>
    </xf>
    <xf numFmtId="167" fontId="39" fillId="0" borderId="42" xfId="0" applyNumberFormat="1" applyFont="1" applyBorder="1" applyAlignment="1" applyProtection="1">
      <alignment horizontal="center" vertical="center" wrapText="1"/>
      <protection locked="0"/>
    </xf>
    <xf numFmtId="167" fontId="39" fillId="0" borderId="42" xfId="0" applyNumberFormat="1" applyFont="1" applyBorder="1" applyAlignment="1">
      <alignment horizontal="center" vertical="center" wrapText="1"/>
    </xf>
    <xf numFmtId="2" fontId="36" fillId="0" borderId="41" xfId="0" applyNumberFormat="1" applyFont="1" applyBorder="1" applyAlignment="1">
      <alignment horizontal="center" vertical="center"/>
    </xf>
    <xf numFmtId="2" fontId="36" fillId="0" borderId="42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167" fontId="34" fillId="0" borderId="41" xfId="0" applyNumberFormat="1" applyFont="1" applyBorder="1" applyAlignment="1">
      <alignment horizontal="center" vertical="center"/>
    </xf>
    <xf numFmtId="0" fontId="40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8" fillId="0" borderId="0" xfId="0" applyNumberFormat="1" applyFont="1" applyAlignment="1" applyProtection="1">
      <alignment horizontal="center" vertical="center"/>
      <protection locked="0"/>
    </xf>
    <xf numFmtId="16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2" fontId="8" fillId="0" borderId="0" xfId="0" applyNumberFormat="1" applyFont="1" applyAlignment="1" applyProtection="1">
      <alignment horizontal="right" vertical="center"/>
      <protection locked="0"/>
    </xf>
    <xf numFmtId="172" fontId="8" fillId="0" borderId="0" xfId="0" applyNumberFormat="1" applyFont="1" applyAlignment="1">
      <alignment horizontal="right" vertical="center"/>
    </xf>
    <xf numFmtId="0" fontId="8" fillId="0" borderId="43" xfId="0" applyFont="1" applyBorder="1" applyAlignment="1">
      <alignment horizontal="left" vertical="center" wrapText="1"/>
    </xf>
    <xf numFmtId="172" fontId="8" fillId="0" borderId="43" xfId="0" applyNumberFormat="1" applyFont="1" applyBorder="1" applyAlignment="1">
      <alignment horizontal="right" vertical="center"/>
    </xf>
    <xf numFmtId="2" fontId="8" fillId="0" borderId="43" xfId="0" applyNumberFormat="1" applyFont="1" applyBorder="1" applyAlignment="1">
      <alignment horizontal="right" vertical="center"/>
    </xf>
    <xf numFmtId="172" fontId="8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Alignment="1">
      <alignment horizontal="center"/>
    </xf>
    <xf numFmtId="0" fontId="0" fillId="9" borderId="0" xfId="24" applyFill="1">
      <alignment/>
      <protection/>
    </xf>
    <xf numFmtId="173" fontId="0" fillId="9" borderId="0" xfId="24" applyNumberFormat="1" applyFill="1">
      <alignment/>
      <protection/>
    </xf>
    <xf numFmtId="49" fontId="41" fillId="9" borderId="44" xfId="24" applyNumberFormat="1" applyFont="1" applyFill="1" applyBorder="1" applyAlignment="1">
      <alignment vertical="center"/>
      <protection/>
    </xf>
    <xf numFmtId="173" fontId="44" fillId="0" borderId="45" xfId="24" applyNumberFormat="1" applyFont="1" applyBorder="1" applyAlignment="1">
      <alignment vertical="center"/>
      <protection/>
    </xf>
    <xf numFmtId="0" fontId="45" fillId="9" borderId="0" xfId="24" applyFont="1" applyFill="1">
      <alignment/>
      <protection/>
    </xf>
    <xf numFmtId="0" fontId="46" fillId="9" borderId="0" xfId="24" applyFont="1" applyFill="1">
      <alignment/>
      <protection/>
    </xf>
    <xf numFmtId="173" fontId="44" fillId="9" borderId="45" xfId="24" applyNumberFormat="1" applyFont="1" applyFill="1" applyBorder="1" applyAlignment="1">
      <alignment vertical="center"/>
      <protection/>
    </xf>
    <xf numFmtId="173" fontId="44" fillId="9" borderId="46" xfId="24" applyNumberFormat="1" applyFont="1" applyFill="1" applyBorder="1" applyAlignment="1">
      <alignment vertical="center"/>
      <protection/>
    </xf>
    <xf numFmtId="173" fontId="4" fillId="9" borderId="47" xfId="24" applyNumberFormat="1" applyFont="1" applyFill="1" applyBorder="1" applyAlignment="1">
      <alignment vertical="center"/>
      <protection/>
    </xf>
    <xf numFmtId="49" fontId="47" fillId="9" borderId="48" xfId="24" applyNumberFormat="1" applyFont="1" applyFill="1" applyBorder="1" applyAlignment="1">
      <alignment horizontal="left" vertical="center"/>
      <protection/>
    </xf>
    <xf numFmtId="0" fontId="47" fillId="9" borderId="7" xfId="24" applyFont="1" applyFill="1" applyBorder="1" applyAlignment="1">
      <alignment horizontal="center" vertical="center"/>
      <protection/>
    </xf>
    <xf numFmtId="0" fontId="47" fillId="9" borderId="7" xfId="24" applyFont="1" applyFill="1" applyBorder="1" applyAlignment="1">
      <alignment vertical="center"/>
      <protection/>
    </xf>
    <xf numFmtId="4" fontId="47" fillId="9" borderId="7" xfId="24" applyNumberFormat="1" applyFont="1" applyFill="1" applyBorder="1" applyAlignment="1">
      <alignment horizontal="right" vertical="center"/>
      <protection/>
    </xf>
    <xf numFmtId="2" fontId="47" fillId="9" borderId="7" xfId="24" applyNumberFormat="1" applyFont="1" applyFill="1" applyBorder="1" applyAlignment="1">
      <alignment vertical="center"/>
      <protection/>
    </xf>
    <xf numFmtId="173" fontId="47" fillId="9" borderId="46" xfId="24" applyNumberFormat="1" applyFont="1" applyFill="1" applyBorder="1" applyAlignment="1">
      <alignment vertical="center"/>
      <protection/>
    </xf>
    <xf numFmtId="0" fontId="48" fillId="9" borderId="0" xfId="24" applyFont="1" applyFill="1">
      <alignment/>
      <protection/>
    </xf>
    <xf numFmtId="49" fontId="47" fillId="9" borderId="21" xfId="24" applyNumberFormat="1" applyFont="1" applyFill="1" applyBorder="1" applyAlignment="1">
      <alignment horizontal="left" vertical="center"/>
      <protection/>
    </xf>
    <xf numFmtId="0" fontId="47" fillId="9" borderId="0" xfId="24" applyFont="1" applyFill="1" applyAlignment="1">
      <alignment horizontal="center" vertical="center"/>
      <protection/>
    </xf>
    <xf numFmtId="0" fontId="47" fillId="9" borderId="0" xfId="24" applyFont="1" applyFill="1" applyAlignment="1">
      <alignment vertical="center"/>
      <protection/>
    </xf>
    <xf numFmtId="4" fontId="47" fillId="9" borderId="0" xfId="24" applyNumberFormat="1" applyFont="1" applyFill="1" applyAlignment="1">
      <alignment horizontal="right" vertical="center"/>
      <protection/>
    </xf>
    <xf numFmtId="2" fontId="47" fillId="9" borderId="0" xfId="24" applyNumberFormat="1" applyFont="1" applyFill="1" applyAlignment="1">
      <alignment vertical="center"/>
      <protection/>
    </xf>
    <xf numFmtId="173" fontId="47" fillId="9" borderId="45" xfId="24" applyNumberFormat="1" applyFont="1" applyFill="1" applyBorder="1" applyAlignment="1">
      <alignment vertical="center"/>
      <protection/>
    </xf>
    <xf numFmtId="173" fontId="42" fillId="9" borderId="44" xfId="24" applyNumberFormat="1" applyFont="1" applyFill="1" applyBorder="1" applyAlignment="1">
      <alignment vertical="center"/>
      <protection/>
    </xf>
    <xf numFmtId="0" fontId="49" fillId="9" borderId="0" xfId="24" applyFont="1" applyFill="1">
      <alignment/>
      <protection/>
    </xf>
    <xf numFmtId="2" fontId="0" fillId="9" borderId="0" xfId="24" applyNumberFormat="1" applyFill="1">
      <alignment/>
      <protection/>
    </xf>
    <xf numFmtId="0" fontId="1" fillId="0" borderId="0" xfId="24" applyFont="1" applyAlignment="1">
      <alignment vertical="top" wrapText="1"/>
      <protection/>
    </xf>
    <xf numFmtId="0" fontId="1" fillId="0" borderId="0" xfId="24" applyFont="1" applyAlignment="1">
      <alignment horizontal="center" vertical="center" wrapText="1"/>
      <protection/>
    </xf>
    <xf numFmtId="0" fontId="42" fillId="0" borderId="0" xfId="24" applyFont="1">
      <alignment/>
      <protection/>
    </xf>
    <xf numFmtId="173" fontId="1" fillId="0" borderId="0" xfId="24" applyNumberFormat="1" applyFont="1" applyAlignment="1">
      <alignment horizontal="right" vertical="center" wrapText="1"/>
      <protection/>
    </xf>
    <xf numFmtId="0" fontId="0" fillId="0" borderId="0" xfId="24">
      <alignment/>
      <protection/>
    </xf>
    <xf numFmtId="0" fontId="20" fillId="0" borderId="0" xfId="24" applyFont="1" applyAlignment="1">
      <alignment vertical="top" wrapText="1"/>
      <protection/>
    </xf>
    <xf numFmtId="0" fontId="50" fillId="0" borderId="0" xfId="24" applyFont="1" applyAlignment="1">
      <alignment horizontal="center"/>
      <protection/>
    </xf>
    <xf numFmtId="0" fontId="20" fillId="0" borderId="44" xfId="24" applyFont="1" applyBorder="1" applyAlignment="1">
      <alignment vertical="center" wrapText="1"/>
      <protection/>
    </xf>
    <xf numFmtId="0" fontId="20" fillId="0" borderId="44" xfId="24" applyFont="1" applyBorder="1" applyAlignment="1">
      <alignment horizontal="center" vertical="center" wrapText="1"/>
      <protection/>
    </xf>
    <xf numFmtId="0" fontId="20" fillId="0" borderId="49" xfId="24" applyFont="1" applyBorder="1" applyAlignment="1">
      <alignment vertical="center" wrapText="1"/>
      <protection/>
    </xf>
    <xf numFmtId="173" fontId="50" fillId="0" borderId="44" xfId="24" applyNumberFormat="1" applyFont="1" applyBorder="1" applyAlignment="1">
      <alignment horizontal="center" vertical="center" wrapText="1"/>
      <protection/>
    </xf>
    <xf numFmtId="173" fontId="50" fillId="0" borderId="50" xfId="24" applyNumberFormat="1" applyFont="1" applyBorder="1" applyAlignment="1">
      <alignment horizontal="center" vertical="center" wrapText="1"/>
      <protection/>
    </xf>
    <xf numFmtId="0" fontId="0" fillId="0" borderId="0" xfId="24" applyAlignment="1">
      <alignment vertical="center"/>
      <protection/>
    </xf>
    <xf numFmtId="0" fontId="0" fillId="10" borderId="9" xfId="24" applyFill="1" applyBorder="1">
      <alignment/>
      <protection/>
    </xf>
    <xf numFmtId="0" fontId="45" fillId="10" borderId="9" xfId="24" applyFont="1" applyFill="1" applyBorder="1" applyAlignment="1">
      <alignment horizontal="center" vertical="center"/>
      <protection/>
    </xf>
    <xf numFmtId="0" fontId="20" fillId="10" borderId="9" xfId="24" applyFont="1" applyFill="1" applyBorder="1" applyAlignment="1">
      <alignment vertical="top" wrapText="1"/>
      <protection/>
    </xf>
    <xf numFmtId="9" fontId="51" fillId="10" borderId="11" xfId="24" applyNumberFormat="1" applyFont="1" applyFill="1" applyBorder="1" applyAlignment="1">
      <alignment horizontal="center" vertical="center"/>
      <protection/>
    </xf>
    <xf numFmtId="173" fontId="0" fillId="10" borderId="11" xfId="24" applyNumberFormat="1" applyFill="1" applyBorder="1" applyAlignment="1" applyProtection="1">
      <alignment horizontal="right" vertical="center"/>
      <protection locked="0"/>
    </xf>
    <xf numFmtId="173" fontId="0" fillId="10" borderId="11" xfId="24" applyNumberFormat="1" applyFill="1" applyBorder="1" applyAlignment="1">
      <alignment horizontal="right" vertical="center"/>
      <protection/>
    </xf>
    <xf numFmtId="0" fontId="52" fillId="0" borderId="9" xfId="24" applyFont="1" applyBorder="1" applyAlignment="1">
      <alignment vertical="top" wrapText="1"/>
      <protection/>
    </xf>
    <xf numFmtId="0" fontId="1" fillId="0" borderId="9" xfId="24" applyFont="1" applyBorder="1" applyAlignment="1">
      <alignment horizontal="center" vertical="center" wrapText="1"/>
      <protection/>
    </xf>
    <xf numFmtId="0" fontId="54" fillId="0" borderId="9" xfId="24" applyFont="1" applyBorder="1" applyAlignment="1">
      <alignment horizontal="center" vertical="center"/>
      <protection/>
    </xf>
    <xf numFmtId="0" fontId="54" fillId="0" borderId="9" xfId="24" applyFont="1" applyBorder="1">
      <alignment/>
      <protection/>
    </xf>
    <xf numFmtId="173" fontId="54" fillId="0" borderId="9" xfId="24" applyNumberFormat="1" applyFont="1" applyBorder="1" applyAlignment="1" applyProtection="1">
      <alignment horizontal="right" vertical="center"/>
      <protection locked="0"/>
    </xf>
    <xf numFmtId="173" fontId="54" fillId="0" borderId="9" xfId="24" applyNumberFormat="1" applyFont="1" applyBorder="1" applyAlignment="1">
      <alignment horizontal="right" vertical="center"/>
      <protection/>
    </xf>
    <xf numFmtId="0" fontId="54" fillId="0" borderId="0" xfId="24" applyFont="1">
      <alignment/>
      <protection/>
    </xf>
    <xf numFmtId="0" fontId="1" fillId="0" borderId="9" xfId="24" applyFont="1" applyBorder="1" applyAlignment="1">
      <alignment vertical="top" wrapText="1"/>
      <protection/>
    </xf>
    <xf numFmtId="0" fontId="0" fillId="0" borderId="9" xfId="24" applyBorder="1" applyAlignment="1">
      <alignment horizontal="center" vertical="center"/>
      <protection/>
    </xf>
    <xf numFmtId="0" fontId="0" fillId="0" borderId="9" xfId="24" applyBorder="1">
      <alignment/>
      <protection/>
    </xf>
    <xf numFmtId="173" fontId="27" fillId="0" borderId="9" xfId="24" applyNumberFormat="1" applyFont="1" applyBorder="1" applyAlignment="1" applyProtection="1">
      <alignment horizontal="right" vertical="center"/>
      <protection locked="0"/>
    </xf>
    <xf numFmtId="173" fontId="0" fillId="0" borderId="9" xfId="24" applyNumberFormat="1" applyBorder="1" applyAlignment="1">
      <alignment horizontal="right" vertical="center"/>
      <protection/>
    </xf>
    <xf numFmtId="0" fontId="45" fillId="0" borderId="9" xfId="24" applyFont="1" applyBorder="1" applyAlignment="1">
      <alignment horizontal="center" vertical="center"/>
      <protection/>
    </xf>
    <xf numFmtId="0" fontId="20" fillId="10" borderId="11" xfId="24" applyFont="1" applyFill="1" applyBorder="1" applyAlignment="1">
      <alignment vertical="top" wrapText="1"/>
      <protection/>
    </xf>
    <xf numFmtId="0" fontId="0" fillId="10" borderId="11" xfId="24" applyFill="1" applyBorder="1">
      <alignment/>
      <protection/>
    </xf>
    <xf numFmtId="0" fontId="27" fillId="0" borderId="9" xfId="24" applyFont="1" applyBorder="1" applyAlignment="1">
      <alignment horizontal="center" vertical="center"/>
      <protection/>
    </xf>
    <xf numFmtId="0" fontId="27" fillId="0" borderId="9" xfId="24" applyFont="1" applyBorder="1">
      <alignment/>
      <protection/>
    </xf>
    <xf numFmtId="0" fontId="27" fillId="0" borderId="0" xfId="24" applyFont="1">
      <alignment/>
      <protection/>
    </xf>
    <xf numFmtId="173" fontId="45" fillId="0" borderId="9" xfId="24" applyNumberFormat="1" applyFont="1" applyBorder="1" applyAlignment="1">
      <alignment horizontal="right" vertical="center"/>
      <protection/>
    </xf>
    <xf numFmtId="0" fontId="45" fillId="0" borderId="9" xfId="24" applyFont="1" applyBorder="1">
      <alignment/>
      <protection/>
    </xf>
    <xf numFmtId="0" fontId="55" fillId="0" borderId="0" xfId="25" applyFont="1" applyAlignment="1">
      <alignment vertical="center" wrapText="1"/>
      <protection/>
    </xf>
    <xf numFmtId="0" fontId="45" fillId="0" borderId="0" xfId="24" applyFont="1">
      <alignment/>
      <protection/>
    </xf>
    <xf numFmtId="0" fontId="52" fillId="0" borderId="9" xfId="24" applyFont="1" applyBorder="1" applyAlignment="1">
      <alignment horizontal="center" vertical="center" wrapText="1"/>
      <protection/>
    </xf>
    <xf numFmtId="0" fontId="54" fillId="0" borderId="0" xfId="24" applyFont="1" applyAlignment="1">
      <alignment horizontal="right" vertical="center"/>
      <protection/>
    </xf>
    <xf numFmtId="0" fontId="56" fillId="0" borderId="0" xfId="24" applyFont="1">
      <alignment/>
      <protection/>
    </xf>
    <xf numFmtId="0" fontId="1" fillId="0" borderId="11" xfId="24" applyFont="1" applyBorder="1" applyAlignment="1">
      <alignment vertical="top" wrapText="1"/>
      <protection/>
    </xf>
    <xf numFmtId="0" fontId="27" fillId="0" borderId="11" xfId="24" applyFont="1" applyBorder="1" applyAlignment="1">
      <alignment horizontal="center" vertical="center"/>
      <protection/>
    </xf>
    <xf numFmtId="173" fontId="27" fillId="0" borderId="11" xfId="24" applyNumberFormat="1" applyFont="1" applyBorder="1" applyAlignment="1" applyProtection="1">
      <alignment horizontal="right" vertical="center"/>
      <protection locked="0"/>
    </xf>
    <xf numFmtId="0" fontId="0" fillId="0" borderId="11" xfId="24" applyBorder="1" applyAlignment="1">
      <alignment horizontal="center" vertical="center"/>
      <protection/>
    </xf>
    <xf numFmtId="0" fontId="0" fillId="0" borderId="11" xfId="24" applyBorder="1">
      <alignment/>
      <protection/>
    </xf>
    <xf numFmtId="173" fontId="0" fillId="0" borderId="11" xfId="24" applyNumberFormat="1" applyBorder="1" applyAlignment="1">
      <alignment horizontal="right" vertical="center"/>
      <protection/>
    </xf>
    <xf numFmtId="0" fontId="27" fillId="0" borderId="0" xfId="24" applyFont="1" applyAlignment="1">
      <alignment horizontal="left" vertical="center"/>
      <protection/>
    </xf>
    <xf numFmtId="0" fontId="27" fillId="0" borderId="0" xfId="24" applyFont="1" applyAlignment="1">
      <alignment horizontal="right" vertical="center"/>
      <protection/>
    </xf>
    <xf numFmtId="0" fontId="45" fillId="0" borderId="9" xfId="24" applyFont="1" applyBorder="1" applyAlignment="1">
      <alignment vertical="top" wrapText="1"/>
      <protection/>
    </xf>
    <xf numFmtId="0" fontId="0" fillId="0" borderId="9" xfId="24" applyBorder="1" applyAlignment="1">
      <alignment vertical="top" wrapText="1"/>
      <protection/>
    </xf>
    <xf numFmtId="9" fontId="51" fillId="10" borderId="9" xfId="24" applyNumberFormat="1" applyFont="1" applyFill="1" applyBorder="1" applyAlignment="1">
      <alignment horizontal="center" vertical="center"/>
      <protection/>
    </xf>
    <xf numFmtId="49" fontId="1" fillId="0" borderId="9" xfId="24" applyNumberFormat="1" applyFont="1" applyBorder="1" applyAlignment="1">
      <alignment horizontal="center" vertical="center" wrapText="1"/>
      <protection/>
    </xf>
    <xf numFmtId="173" fontId="56" fillId="0" borderId="9" xfId="24" applyNumberFormat="1" applyFont="1" applyBorder="1" applyAlignment="1">
      <alignment horizontal="right" vertical="center"/>
      <protection/>
    </xf>
    <xf numFmtId="0" fontId="0" fillId="0" borderId="9" xfId="24" applyBorder="1" applyProtection="1">
      <alignment/>
      <protection locked="0"/>
    </xf>
    <xf numFmtId="173" fontId="27" fillId="0" borderId="9" xfId="24" applyNumberFormat="1" applyFont="1" applyBorder="1" applyAlignment="1">
      <alignment horizontal="right" vertical="center"/>
      <protection/>
    </xf>
    <xf numFmtId="0" fontId="57" fillId="0" borderId="51" xfId="24" applyFont="1" applyBorder="1">
      <alignment/>
      <protection/>
    </xf>
    <xf numFmtId="0" fontId="57" fillId="0" borderId="49" xfId="24" applyFont="1" applyBorder="1" applyAlignment="1">
      <alignment horizontal="center" vertical="center"/>
      <protection/>
    </xf>
    <xf numFmtId="0" fontId="57" fillId="0" borderId="49" xfId="24" applyFont="1" applyBorder="1">
      <alignment/>
      <protection/>
    </xf>
    <xf numFmtId="173" fontId="57" fillId="0" borderId="49" xfId="24" applyNumberFormat="1" applyFont="1" applyBorder="1" applyAlignment="1">
      <alignment horizontal="center" vertical="center"/>
      <protection/>
    </xf>
    <xf numFmtId="173" fontId="57" fillId="0" borderId="44" xfId="24" applyNumberFormat="1" applyFont="1" applyBorder="1" applyAlignment="1">
      <alignment horizontal="center" vertical="center"/>
      <protection/>
    </xf>
    <xf numFmtId="0" fontId="57" fillId="0" borderId="0" xfId="24" applyFont="1">
      <alignment/>
      <protection/>
    </xf>
    <xf numFmtId="0" fontId="45" fillId="0" borderId="0" xfId="24" applyFont="1" applyAlignment="1">
      <alignment horizontal="center" vertical="center"/>
      <protection/>
    </xf>
    <xf numFmtId="0" fontId="0" fillId="0" borderId="0" xfId="24" applyAlignment="1">
      <alignment horizontal="center" vertical="center"/>
      <protection/>
    </xf>
    <xf numFmtId="173" fontId="0" fillId="0" borderId="0" xfId="24" applyNumberFormat="1" applyAlignment="1">
      <alignment horizontal="right" vertical="center"/>
      <protection/>
    </xf>
    <xf numFmtId="0" fontId="58" fillId="10" borderId="44" xfId="24" applyFont="1" applyFill="1" applyBorder="1" applyAlignment="1">
      <alignment horizontal="center" vertical="center"/>
      <protection/>
    </xf>
    <xf numFmtId="0" fontId="59" fillId="0" borderId="0" xfId="24" applyFont="1" applyAlignment="1">
      <alignment horizontal="center" vertical="center"/>
      <protection/>
    </xf>
    <xf numFmtId="173" fontId="0" fillId="10" borderId="9" xfId="24" applyNumberFormat="1" applyFill="1" applyBorder="1" applyAlignment="1">
      <alignment horizontal="right" vertical="center"/>
      <protection/>
    </xf>
    <xf numFmtId="173" fontId="0" fillId="10" borderId="9" xfId="24" applyNumberFormat="1" applyFill="1" applyBorder="1" applyAlignment="1" applyProtection="1">
      <alignment horizontal="right" vertical="center"/>
      <protection locked="0"/>
    </xf>
    <xf numFmtId="2" fontId="16" fillId="0" borderId="9" xfId="21" applyNumberFormat="1" applyFont="1" applyBorder="1" applyAlignment="1" applyProtection="1">
      <alignment horizontal="right" vertical="center"/>
      <protection locked="0"/>
    </xf>
    <xf numFmtId="4" fontId="16" fillId="0" borderId="10" xfId="21" applyNumberFormat="1" applyFont="1" applyBorder="1" applyAlignment="1">
      <alignment horizontal="right" vertical="center"/>
      <protection/>
    </xf>
    <xf numFmtId="4" fontId="16" fillId="0" borderId="12" xfId="21" applyNumberFormat="1" applyFont="1" applyBorder="1" applyAlignment="1">
      <alignment horizontal="right" vertical="center"/>
      <protection/>
    </xf>
    <xf numFmtId="4" fontId="15" fillId="2" borderId="52" xfId="21" applyNumberFormat="1" applyFont="1" applyFill="1" applyBorder="1" applyAlignment="1">
      <alignment horizontal="right" vertical="center"/>
      <protection/>
    </xf>
    <xf numFmtId="0" fontId="9" fillId="0" borderId="37" xfId="21" applyFont="1" applyBorder="1" applyAlignment="1">
      <alignment vertical="center"/>
      <protection/>
    </xf>
    <xf numFmtId="4" fontId="15" fillId="2" borderId="37" xfId="21" applyNumberFormat="1" applyFont="1" applyFill="1" applyBorder="1" applyAlignment="1">
      <alignment horizontal="right" vertical="center"/>
      <protection/>
    </xf>
    <xf numFmtId="0" fontId="27" fillId="0" borderId="0" xfId="27">
      <alignment/>
      <protection/>
    </xf>
    <xf numFmtId="0" fontId="27" fillId="0" borderId="0" xfId="26">
      <alignment/>
      <protection/>
    </xf>
    <xf numFmtId="0" fontId="27" fillId="0" borderId="0" xfId="26" applyFont="1">
      <alignment/>
      <protection/>
    </xf>
    <xf numFmtId="0" fontId="61" fillId="0" borderId="0" xfId="26" applyFont="1" applyAlignment="1">
      <alignment horizontal="centerContinuous"/>
      <protection/>
    </xf>
    <xf numFmtId="0" fontId="62" fillId="0" borderId="0" xfId="26" applyFont="1" applyAlignment="1">
      <alignment horizontal="centerContinuous"/>
      <protection/>
    </xf>
    <xf numFmtId="0" fontId="62" fillId="0" borderId="0" xfId="26" applyFont="1" applyAlignment="1">
      <alignment horizontal="right"/>
      <protection/>
    </xf>
    <xf numFmtId="0" fontId="63" fillId="0" borderId="53" xfId="26" applyFont="1" applyBorder="1">
      <alignment/>
      <protection/>
    </xf>
    <xf numFmtId="0" fontId="27" fillId="0" borderId="54" xfId="26" applyFont="1" applyBorder="1">
      <alignment/>
      <protection/>
    </xf>
    <xf numFmtId="0" fontId="36" fillId="0" borderId="54" xfId="26" applyFont="1" applyBorder="1" applyAlignment="1">
      <alignment horizontal="right"/>
      <protection/>
    </xf>
    <xf numFmtId="0" fontId="27" fillId="0" borderId="55" xfId="26" applyFont="1" applyBorder="1">
      <alignment/>
      <protection/>
    </xf>
    <xf numFmtId="0" fontId="63" fillId="0" borderId="56" xfId="26" applyFont="1" applyBorder="1">
      <alignment/>
      <protection/>
    </xf>
    <xf numFmtId="0" fontId="27" fillId="0" borderId="43" xfId="26" applyFont="1" applyBorder="1">
      <alignment/>
      <protection/>
    </xf>
    <xf numFmtId="0" fontId="36" fillId="0" borderId="0" xfId="26" applyFont="1">
      <alignment/>
      <protection/>
    </xf>
    <xf numFmtId="0" fontId="27" fillId="0" borderId="0" xfId="26" applyFont="1" applyAlignment="1">
      <alignment horizontal="right"/>
      <protection/>
    </xf>
    <xf numFmtId="49" fontId="36" fillId="11" borderId="10" xfId="26" applyNumberFormat="1" applyFont="1" applyFill="1" applyBorder="1" applyAlignment="1">
      <alignment horizontal="center"/>
      <protection/>
    </xf>
    <xf numFmtId="0" fontId="36" fillId="11" borderId="13" xfId="26" applyFont="1" applyFill="1" applyBorder="1" applyAlignment="1">
      <alignment horizontal="center"/>
      <protection/>
    </xf>
    <xf numFmtId="0" fontId="36" fillId="11" borderId="10" xfId="26" applyFont="1" applyFill="1" applyBorder="1" applyAlignment="1">
      <alignment horizontal="center"/>
      <protection/>
    </xf>
    <xf numFmtId="0" fontId="50" fillId="8" borderId="9" xfId="26" applyFont="1" applyFill="1" applyBorder="1" applyAlignment="1">
      <alignment horizontal="center" vertical="top"/>
      <protection/>
    </xf>
    <xf numFmtId="49" fontId="20" fillId="8" borderId="9" xfId="27" applyNumberFormat="1" applyFont="1" applyFill="1" applyBorder="1" applyAlignment="1">
      <alignment horizontal="left" vertical="top" wrapText="1"/>
      <protection/>
    </xf>
    <xf numFmtId="2" fontId="20" fillId="8" borderId="9" xfId="27" applyNumberFormat="1" applyFont="1" applyFill="1" applyBorder="1" applyAlignment="1">
      <alignment horizontal="right" vertical="top"/>
      <protection/>
    </xf>
    <xf numFmtId="4" fontId="20" fillId="8" borderId="9" xfId="26" applyNumberFormat="1" applyFont="1" applyFill="1" applyBorder="1" applyAlignment="1">
      <alignment vertical="top"/>
      <protection/>
    </xf>
    <xf numFmtId="0" fontId="64" fillId="0" borderId="8" xfId="27" applyFont="1" applyBorder="1" applyAlignment="1">
      <alignment vertical="top"/>
      <protection/>
    </xf>
    <xf numFmtId="0" fontId="65" fillId="0" borderId="57" xfId="26" applyFont="1" applyBorder="1" applyAlignment="1">
      <alignment vertical="top" wrapText="1"/>
      <protection/>
    </xf>
    <xf numFmtId="49" fontId="64" fillId="0" borderId="58" xfId="26" applyNumberFormat="1" applyFont="1" applyBorder="1" applyAlignment="1">
      <alignment horizontal="center" vertical="top" shrinkToFit="1"/>
      <protection/>
    </xf>
    <xf numFmtId="4" fontId="65" fillId="0" borderId="57" xfId="26" applyNumberFormat="1" applyFont="1" applyBorder="1" applyAlignment="1">
      <alignment horizontal="right" vertical="top"/>
      <protection/>
    </xf>
    <xf numFmtId="4" fontId="65" fillId="9" borderId="8" xfId="26" applyNumberFormat="1" applyFont="1" applyFill="1" applyBorder="1" applyAlignment="1" applyProtection="1">
      <alignment horizontal="right" vertical="top"/>
      <protection locked="0"/>
    </xf>
    <xf numFmtId="4" fontId="66" fillId="12" borderId="59" xfId="26" applyNumberFormat="1" applyFont="1" applyFill="1" applyBorder="1" applyAlignment="1">
      <alignment horizontal="right" vertical="top" wrapText="1"/>
      <protection/>
    </xf>
    <xf numFmtId="4" fontId="65" fillId="9" borderId="8" xfId="26" applyNumberFormat="1" applyFont="1" applyFill="1" applyBorder="1" applyAlignment="1">
      <alignment horizontal="right" vertical="top"/>
      <protection/>
    </xf>
    <xf numFmtId="49" fontId="27" fillId="9" borderId="10" xfId="26" applyNumberFormat="1" applyFont="1" applyFill="1" applyBorder="1" applyAlignment="1">
      <alignment horizontal="center" vertical="top"/>
      <protection/>
    </xf>
    <xf numFmtId="0" fontId="64" fillId="0" borderId="9" xfId="27" applyFont="1" applyBorder="1" applyAlignment="1">
      <alignment vertical="top"/>
      <protection/>
    </xf>
    <xf numFmtId="0" fontId="65" fillId="0" borderId="10" xfId="26" applyFont="1" applyBorder="1" applyAlignment="1">
      <alignment vertical="top" wrapText="1"/>
      <protection/>
    </xf>
    <xf numFmtId="49" fontId="64" fillId="0" borderId="18" xfId="26" applyNumberFormat="1" applyFont="1" applyBorder="1" applyAlignment="1">
      <alignment horizontal="center" vertical="top" shrinkToFit="1"/>
      <protection/>
    </xf>
    <xf numFmtId="4" fontId="65" fillId="0" borderId="9" xfId="26" applyNumberFormat="1" applyFont="1" applyBorder="1" applyAlignment="1">
      <alignment horizontal="right" vertical="top"/>
      <protection/>
    </xf>
    <xf numFmtId="4" fontId="65" fillId="9" borderId="16" xfId="26" applyNumberFormat="1" applyFont="1" applyFill="1" applyBorder="1" applyAlignment="1" applyProtection="1">
      <alignment horizontal="right" vertical="top"/>
      <protection locked="0"/>
    </xf>
    <xf numFmtId="49" fontId="65" fillId="0" borderId="60" xfId="26" applyNumberFormat="1" applyFont="1" applyBorder="1" applyAlignment="1">
      <alignment horizontal="left" vertical="top"/>
      <protection/>
    </xf>
    <xf numFmtId="0" fontId="65" fillId="0" borderId="61" xfId="26" applyFont="1" applyBorder="1" applyAlignment="1">
      <alignment vertical="top" wrapText="1"/>
      <protection/>
    </xf>
    <xf numFmtId="49" fontId="64" fillId="0" borderId="62" xfId="26" applyNumberFormat="1" applyFont="1" applyBorder="1" applyAlignment="1">
      <alignment horizontal="center" vertical="top" shrinkToFit="1"/>
      <protection/>
    </xf>
    <xf numFmtId="4" fontId="65" fillId="0" borderId="61" xfId="26" applyNumberFormat="1" applyFont="1" applyBorder="1" applyAlignment="1">
      <alignment horizontal="right" vertical="top"/>
      <protection/>
    </xf>
    <xf numFmtId="4" fontId="65" fillId="9" borderId="36" xfId="26" applyNumberFormat="1" applyFont="1" applyFill="1" applyBorder="1" applyAlignment="1" applyProtection="1">
      <alignment horizontal="right" vertical="top"/>
      <protection locked="0"/>
    </xf>
    <xf numFmtId="49" fontId="65" fillId="0" borderId="10" xfId="26" applyNumberFormat="1" applyFont="1" applyBorder="1" applyAlignment="1">
      <alignment horizontal="left" vertical="top"/>
      <protection/>
    </xf>
    <xf numFmtId="4" fontId="65" fillId="0" borderId="36" xfId="26" applyNumberFormat="1" applyFont="1" applyBorder="1" applyAlignment="1">
      <alignment horizontal="right" vertical="top"/>
      <protection/>
    </xf>
    <xf numFmtId="49" fontId="65" fillId="0" borderId="13" xfId="26" applyNumberFormat="1" applyFont="1" applyBorder="1" applyAlignment="1">
      <alignment horizontal="center" vertical="top" shrinkToFit="1"/>
      <protection/>
    </xf>
    <xf numFmtId="49" fontId="65" fillId="0" borderId="13" xfId="26" applyNumberFormat="1" applyFont="1" applyBorder="1" applyAlignment="1">
      <alignment horizontal="left" vertical="top"/>
      <protection/>
    </xf>
    <xf numFmtId="49" fontId="64" fillId="0" borderId="62" xfId="28" applyNumberFormat="1" applyFont="1" applyBorder="1" applyAlignment="1">
      <alignment horizontal="center" vertical="top" shrinkToFit="1"/>
      <protection/>
    </xf>
    <xf numFmtId="49" fontId="65" fillId="0" borderId="17" xfId="26" applyNumberFormat="1" applyFont="1" applyBorder="1" applyAlignment="1">
      <alignment horizontal="left" vertical="top"/>
      <protection/>
    </xf>
    <xf numFmtId="4" fontId="65" fillId="0" borderId="10" xfId="26" applyNumberFormat="1" applyFont="1" applyBorder="1" applyAlignment="1">
      <alignment horizontal="right" vertical="top"/>
      <protection/>
    </xf>
    <xf numFmtId="4" fontId="65" fillId="0" borderId="60" xfId="26" applyNumberFormat="1" applyFont="1" applyBorder="1" applyAlignment="1">
      <alignment horizontal="right" vertical="top"/>
      <protection/>
    </xf>
    <xf numFmtId="49" fontId="65" fillId="0" borderId="10" xfId="26" applyNumberFormat="1" applyFont="1" applyBorder="1" applyAlignment="1">
      <alignment horizontal="center" vertical="top" shrinkToFit="1"/>
      <protection/>
    </xf>
    <xf numFmtId="4" fontId="65" fillId="9" borderId="10" xfId="26" applyNumberFormat="1" applyFont="1" applyFill="1" applyBorder="1" applyAlignment="1" applyProtection="1">
      <alignment horizontal="right" vertical="top"/>
      <protection locked="0"/>
    </xf>
    <xf numFmtId="0" fontId="27" fillId="9" borderId="10" xfId="26" applyFont="1" applyFill="1" applyBorder="1" applyAlignment="1">
      <alignment horizontal="center" vertical="top"/>
      <protection/>
    </xf>
    <xf numFmtId="0" fontId="65" fillId="5" borderId="10" xfId="26" applyFont="1" applyFill="1" applyBorder="1" applyAlignment="1">
      <alignment vertical="top" wrapText="1"/>
      <protection/>
    </xf>
    <xf numFmtId="49" fontId="64" fillId="0" borderId="10" xfId="28" applyNumberFormat="1" applyFont="1" applyBorder="1" applyAlignment="1">
      <alignment horizontal="left" vertical="top"/>
      <protection/>
    </xf>
    <xf numFmtId="0" fontId="64" fillId="0" borderId="9" xfId="26" applyFont="1" applyBorder="1" applyAlignment="1">
      <alignment vertical="center" wrapText="1"/>
      <protection/>
    </xf>
    <xf numFmtId="49" fontId="64" fillId="0" borderId="18" xfId="28" applyNumberFormat="1" applyFont="1" applyBorder="1" applyAlignment="1">
      <alignment horizontal="center" vertical="top" shrinkToFit="1"/>
      <protection/>
    </xf>
    <xf numFmtId="0" fontId="36" fillId="9" borderId="10" xfId="26" applyFont="1" applyFill="1" applyBorder="1" applyAlignment="1">
      <alignment vertical="top"/>
      <protection/>
    </xf>
    <xf numFmtId="49" fontId="67" fillId="5" borderId="9" xfId="27" applyNumberFormat="1" applyFont="1" applyFill="1" applyBorder="1" applyAlignment="1">
      <alignment horizontal="left" vertical="top" wrapText="1"/>
      <protection/>
    </xf>
    <xf numFmtId="2" fontId="67" fillId="5" borderId="9" xfId="27" applyNumberFormat="1" applyFont="1" applyFill="1" applyBorder="1" applyAlignment="1">
      <alignment horizontal="right" vertical="top"/>
      <protection/>
    </xf>
    <xf numFmtId="4" fontId="67" fillId="5" borderId="9" xfId="26" applyNumberFormat="1" applyFont="1" applyFill="1" applyBorder="1" applyAlignment="1">
      <alignment vertical="top"/>
      <protection/>
    </xf>
    <xf numFmtId="49" fontId="65" fillId="9" borderId="10" xfId="26" applyNumberFormat="1" applyFont="1" applyFill="1" applyBorder="1" applyAlignment="1">
      <alignment horizontal="left" vertical="top"/>
      <protection/>
    </xf>
    <xf numFmtId="0" fontId="65" fillId="9" borderId="10" xfId="26" applyFont="1" applyFill="1" applyBorder="1" applyAlignment="1">
      <alignment vertical="top" wrapText="1"/>
      <protection/>
    </xf>
    <xf numFmtId="49" fontId="65" fillId="9" borderId="10" xfId="26" applyNumberFormat="1" applyFont="1" applyFill="1" applyBorder="1" applyAlignment="1">
      <alignment horizontal="center" shrinkToFit="1"/>
      <protection/>
    </xf>
    <xf numFmtId="4" fontId="65" fillId="9" borderId="10" xfId="26" applyNumberFormat="1" applyFont="1" applyFill="1" applyBorder="1" applyAlignment="1">
      <alignment horizontal="right"/>
      <protection/>
    </xf>
    <xf numFmtId="4" fontId="65" fillId="0" borderId="36" xfId="26" applyNumberFormat="1" applyFont="1" applyBorder="1" applyAlignment="1" applyProtection="1">
      <alignment horizontal="right" vertical="top"/>
      <protection locked="0"/>
    </xf>
    <xf numFmtId="0" fontId="34" fillId="9" borderId="60" xfId="26" applyFont="1" applyFill="1" applyBorder="1" applyAlignment="1">
      <alignment horizontal="center"/>
      <protection/>
    </xf>
    <xf numFmtId="49" fontId="34" fillId="9" borderId="60" xfId="26" applyNumberFormat="1" applyFont="1" applyFill="1" applyBorder="1" applyAlignment="1">
      <alignment horizontal="right"/>
      <protection/>
    </xf>
    <xf numFmtId="4" fontId="68" fillId="13" borderId="59" xfId="26" applyNumberFormat="1" applyFont="1" applyFill="1" applyBorder="1" applyAlignment="1">
      <alignment horizontal="right" wrapText="1"/>
      <protection/>
    </xf>
    <xf numFmtId="0" fontId="68" fillId="13" borderId="11" xfId="26" applyFont="1" applyFill="1" applyBorder="1" applyAlignment="1">
      <alignment horizontal="left" wrapText="1"/>
      <protection/>
    </xf>
    <xf numFmtId="0" fontId="68" fillId="9" borderId="17" xfId="27" applyFont="1" applyFill="1" applyBorder="1" applyAlignment="1">
      <alignment horizontal="right"/>
      <protection/>
    </xf>
    <xf numFmtId="0" fontId="27" fillId="5" borderId="10" xfId="26" applyFont="1" applyFill="1" applyBorder="1" applyAlignment="1">
      <alignment horizontal="center" vertical="top"/>
      <protection/>
    </xf>
    <xf numFmtId="0" fontId="27" fillId="5" borderId="60" xfId="26" applyFont="1" applyFill="1" applyBorder="1" applyAlignment="1">
      <alignment horizontal="center" vertical="top"/>
      <protection/>
    </xf>
    <xf numFmtId="4" fontId="70" fillId="0" borderId="63" xfId="26" applyNumberFormat="1" applyFont="1" applyBorder="1" applyAlignment="1">
      <alignment horizontal="right" vertical="top"/>
      <protection/>
    </xf>
    <xf numFmtId="4" fontId="65" fillId="0" borderId="8" xfId="26" applyNumberFormat="1" applyFont="1" applyBorder="1" applyAlignment="1">
      <alignment horizontal="right" vertical="top"/>
      <protection/>
    </xf>
    <xf numFmtId="49" fontId="66" fillId="12" borderId="64" xfId="26" applyNumberFormat="1" applyFont="1" applyFill="1" applyBorder="1" applyAlignment="1">
      <alignment horizontal="left" wrapText="1"/>
      <protection/>
    </xf>
    <xf numFmtId="49" fontId="66" fillId="12" borderId="65" xfId="26" applyNumberFormat="1" applyFont="1" applyFill="1" applyBorder="1" applyAlignment="1">
      <alignment horizontal="left" wrapText="1"/>
      <protection/>
    </xf>
    <xf numFmtId="4" fontId="66" fillId="12" borderId="63" xfId="26" applyNumberFormat="1" applyFont="1" applyFill="1" applyBorder="1" applyAlignment="1">
      <alignment horizontal="right" vertical="top" wrapText="1"/>
      <protection/>
    </xf>
    <xf numFmtId="0" fontId="27" fillId="5" borderId="11" xfId="26" applyFont="1" applyFill="1" applyBorder="1" applyAlignment="1">
      <alignment horizontal="center" vertical="top"/>
      <protection/>
    </xf>
    <xf numFmtId="49" fontId="65" fillId="0" borderId="11" xfId="26" applyNumberFormat="1" applyFont="1" applyBorder="1" applyAlignment="1">
      <alignment horizontal="left" vertical="top"/>
      <protection/>
    </xf>
    <xf numFmtId="4" fontId="65" fillId="0" borderId="19" xfId="26" applyNumberFormat="1" applyFont="1" applyBorder="1" applyAlignment="1">
      <alignment horizontal="right" vertical="top"/>
      <protection/>
    </xf>
    <xf numFmtId="4" fontId="65" fillId="0" borderId="11" xfId="26" applyNumberFormat="1" applyFont="1" applyBorder="1" applyAlignment="1">
      <alignment horizontal="right" vertical="top"/>
      <protection/>
    </xf>
    <xf numFmtId="0" fontId="64" fillId="0" borderId="61" xfId="27" applyFont="1" applyBorder="1" applyAlignment="1">
      <alignment horizontal="left" vertical="top" wrapText="1"/>
      <protection/>
    </xf>
    <xf numFmtId="0" fontId="64" fillId="0" borderId="62" xfId="27" applyFont="1" applyBorder="1" applyAlignment="1">
      <alignment horizontal="center" vertical="top" shrinkToFit="1"/>
      <protection/>
    </xf>
    <xf numFmtId="174" fontId="65" fillId="0" borderId="61" xfId="26" applyNumberFormat="1" applyFont="1" applyBorder="1" applyAlignment="1">
      <alignment horizontal="right" vertical="top"/>
      <protection/>
    </xf>
    <xf numFmtId="4" fontId="64" fillId="0" borderId="36" xfId="27" applyNumberFormat="1" applyFont="1" applyBorder="1" applyAlignment="1" applyProtection="1">
      <alignment horizontal="right" vertical="top" shrinkToFit="1"/>
      <protection locked="0"/>
    </xf>
    <xf numFmtId="0" fontId="64" fillId="0" borderId="10" xfId="27" applyFont="1" applyBorder="1" applyAlignment="1">
      <alignment horizontal="left" vertical="top" wrapText="1"/>
      <protection/>
    </xf>
    <xf numFmtId="0" fontId="64" fillId="0" borderId="13" xfId="27" applyFont="1" applyBorder="1" applyAlignment="1">
      <alignment horizontal="center" vertical="top" shrinkToFit="1"/>
      <protection/>
    </xf>
    <xf numFmtId="0" fontId="27" fillId="5" borderId="9" xfId="26" applyFont="1" applyFill="1" applyBorder="1" applyAlignment="1">
      <alignment horizontal="center" vertical="top"/>
      <protection/>
    </xf>
    <xf numFmtId="0" fontId="64" fillId="0" borderId="16" xfId="27" applyFont="1" applyBorder="1" applyAlignment="1">
      <alignment vertical="top"/>
      <protection/>
    </xf>
    <xf numFmtId="0" fontId="64" fillId="0" borderId="18" xfId="27" applyFont="1" applyBorder="1" applyAlignment="1">
      <alignment horizontal="center" vertical="top" shrinkToFit="1"/>
      <protection/>
    </xf>
    <xf numFmtId="4" fontId="64" fillId="0" borderId="9" xfId="27" applyNumberFormat="1" applyFont="1" applyBorder="1" applyAlignment="1" applyProtection="1">
      <alignment horizontal="right" vertical="top" shrinkToFit="1"/>
      <protection locked="0"/>
    </xf>
    <xf numFmtId="4" fontId="65" fillId="0" borderId="10" xfId="27" applyNumberFormat="1" applyFont="1" applyBorder="1" applyAlignment="1">
      <alignment horizontal="right" vertical="top"/>
      <protection/>
    </xf>
    <xf numFmtId="0" fontId="63" fillId="5" borderId="9" xfId="26" applyFont="1" applyFill="1" applyBorder="1" applyAlignment="1">
      <alignment horizontal="center" vertical="top"/>
      <protection/>
    </xf>
    <xf numFmtId="4" fontId="67" fillId="5" borderId="9" xfId="27" applyNumberFormat="1" applyFont="1" applyFill="1" applyBorder="1" applyAlignment="1">
      <alignment horizontal="right" vertical="top"/>
      <protection/>
    </xf>
    <xf numFmtId="4" fontId="67" fillId="5" borderId="9" xfId="26" applyNumberFormat="1" applyFont="1" applyFill="1" applyBorder="1">
      <alignment/>
      <protection/>
    </xf>
    <xf numFmtId="0" fontId="64" fillId="0" borderId="62" xfId="27" applyFont="1" applyBorder="1" applyAlignment="1">
      <alignment horizontal="left" vertical="top" wrapText="1"/>
      <protection/>
    </xf>
    <xf numFmtId="4" fontId="64" fillId="0" borderId="10" xfId="27" applyNumberFormat="1" applyFont="1" applyBorder="1" applyAlignment="1" applyProtection="1">
      <alignment vertical="top" shrinkToFit="1"/>
      <protection locked="0"/>
    </xf>
    <xf numFmtId="4" fontId="64" fillId="0" borderId="10" xfId="27" applyNumberFormat="1" applyFont="1" applyBorder="1" applyAlignment="1">
      <alignment vertical="top" shrinkToFit="1"/>
      <protection/>
    </xf>
    <xf numFmtId="4" fontId="64" fillId="0" borderId="60" xfId="27" applyNumberFormat="1" applyFont="1" applyBorder="1" applyAlignment="1">
      <alignment vertical="top" shrinkToFit="1"/>
      <protection/>
    </xf>
    <xf numFmtId="49" fontId="66" fillId="12" borderId="66" xfId="26" applyNumberFormat="1" applyFont="1" applyFill="1" applyBorder="1" applyAlignment="1">
      <alignment horizontal="left" wrapText="1"/>
      <protection/>
    </xf>
    <xf numFmtId="49" fontId="66" fillId="12" borderId="67" xfId="26" applyNumberFormat="1" applyFont="1" applyFill="1" applyBorder="1" applyAlignment="1">
      <alignment horizontal="left" wrapText="1"/>
      <protection/>
    </xf>
    <xf numFmtId="0" fontId="64" fillId="0" borderId="9" xfId="27" applyFont="1" applyBorder="1" applyAlignment="1">
      <alignment horizontal="left" vertical="top" wrapText="1"/>
      <protection/>
    </xf>
    <xf numFmtId="4" fontId="64" fillId="0" borderId="8" xfId="27" applyNumberFormat="1" applyFont="1" applyBorder="1" applyAlignment="1" applyProtection="1">
      <alignment horizontal="right" vertical="top" shrinkToFit="1"/>
      <protection locked="0"/>
    </xf>
    <xf numFmtId="0" fontId="36" fillId="9" borderId="10" xfId="26" applyFont="1" applyFill="1" applyBorder="1">
      <alignment/>
      <protection/>
    </xf>
    <xf numFmtId="4" fontId="20" fillId="8" borderId="9" xfId="27" applyNumberFormat="1" applyFont="1" applyFill="1" applyBorder="1" applyAlignment="1">
      <alignment horizontal="right" vertical="top"/>
      <protection/>
    </xf>
    <xf numFmtId="4" fontId="19" fillId="14" borderId="9" xfId="26" applyNumberFormat="1" applyFont="1" applyFill="1" applyBorder="1">
      <alignment/>
      <protection/>
    </xf>
    <xf numFmtId="49" fontId="65" fillId="5" borderId="10" xfId="27" applyNumberFormat="1" applyFont="1" applyFill="1" applyBorder="1" applyAlignment="1">
      <alignment horizontal="center" vertical="top" wrapText="1"/>
      <protection/>
    </xf>
    <xf numFmtId="0" fontId="65" fillId="5" borderId="61" xfId="26" applyFont="1" applyFill="1" applyBorder="1" applyAlignment="1">
      <alignment vertical="top" wrapText="1"/>
      <protection/>
    </xf>
    <xf numFmtId="0" fontId="65" fillId="5" borderId="61" xfId="26" applyFont="1" applyFill="1" applyBorder="1" applyAlignment="1">
      <alignment horizontal="center" vertical="top" wrapText="1"/>
      <protection/>
    </xf>
    <xf numFmtId="4" fontId="65" fillId="5" borderId="61" xfId="26" applyNumberFormat="1" applyFont="1" applyFill="1" applyBorder="1" applyAlignment="1">
      <alignment horizontal="right" vertical="top"/>
      <protection/>
    </xf>
    <xf numFmtId="4" fontId="65" fillId="9" borderId="10" xfId="27" applyNumberFormat="1" applyFont="1" applyFill="1" applyBorder="1" applyAlignment="1" applyProtection="1">
      <alignment horizontal="right" vertical="top"/>
      <protection locked="0"/>
    </xf>
    <xf numFmtId="4" fontId="65" fillId="9" borderId="10" xfId="27" applyNumberFormat="1" applyFont="1" applyFill="1" applyBorder="1" applyAlignment="1">
      <alignment horizontal="right" vertical="top"/>
      <protection/>
    </xf>
    <xf numFmtId="49" fontId="65" fillId="9" borderId="9" xfId="27" applyNumberFormat="1" applyFont="1" applyFill="1" applyBorder="1" applyAlignment="1">
      <alignment horizontal="left" vertical="top" wrapText="1"/>
      <protection/>
    </xf>
    <xf numFmtId="49" fontId="65" fillId="5" borderId="13" xfId="27" applyNumberFormat="1" applyFont="1" applyFill="1" applyBorder="1" applyAlignment="1">
      <alignment horizontal="center" vertical="top" wrapText="1"/>
      <protection/>
    </xf>
    <xf numFmtId="4" fontId="65" fillId="5" borderId="13" xfId="26" applyNumberFormat="1" applyFont="1" applyFill="1" applyBorder="1" applyAlignment="1">
      <alignment horizontal="right" vertical="top"/>
      <protection/>
    </xf>
    <xf numFmtId="4" fontId="65" fillId="9" borderId="13" xfId="27" applyNumberFormat="1" applyFont="1" applyFill="1" applyBorder="1" applyAlignment="1" applyProtection="1">
      <alignment horizontal="right" vertical="top"/>
      <protection locked="0"/>
    </xf>
    <xf numFmtId="49" fontId="65" fillId="5" borderId="18" xfId="27" applyNumberFormat="1" applyFont="1" applyFill="1" applyBorder="1" applyAlignment="1">
      <alignment horizontal="center" vertical="top" wrapText="1"/>
      <protection/>
    </xf>
    <xf numFmtId="4" fontId="65" fillId="9" borderId="9" xfId="27" applyNumberFormat="1" applyFont="1" applyFill="1" applyBorder="1" applyAlignment="1" applyProtection="1">
      <alignment horizontal="right" vertical="top"/>
      <protection locked="0"/>
    </xf>
    <xf numFmtId="0" fontId="65" fillId="5" borderId="9" xfId="26" applyFont="1" applyFill="1" applyBorder="1" applyAlignment="1">
      <alignment vertical="top" wrapText="1"/>
      <protection/>
    </xf>
    <xf numFmtId="49" fontId="65" fillId="9" borderId="9" xfId="27" applyNumberFormat="1" applyFont="1" applyFill="1" applyBorder="1" applyAlignment="1">
      <alignment horizontal="center" vertical="top" wrapText="1"/>
      <protection/>
    </xf>
    <xf numFmtId="4" fontId="65" fillId="5" borderId="9" xfId="26" applyNumberFormat="1" applyFont="1" applyFill="1" applyBorder="1" applyAlignment="1">
      <alignment horizontal="right" vertical="top"/>
      <protection/>
    </xf>
    <xf numFmtId="4" fontId="20" fillId="8" borderId="9" xfId="26" applyNumberFormat="1" applyFont="1" applyFill="1" applyBorder="1">
      <alignment/>
      <protection/>
    </xf>
    <xf numFmtId="4" fontId="65" fillId="8" borderId="0" xfId="26" applyNumberFormat="1" applyFont="1" applyFill="1">
      <alignment/>
      <protection/>
    </xf>
    <xf numFmtId="4" fontId="64" fillId="8" borderId="0" xfId="26" applyNumberFormat="1" applyFont="1" applyFill="1" applyAlignment="1">
      <alignment horizontal="right"/>
      <protection/>
    </xf>
    <xf numFmtId="0" fontId="27" fillId="8" borderId="0" xfId="26" applyFill="1">
      <alignment/>
      <protection/>
    </xf>
    <xf numFmtId="0" fontId="27" fillId="8" borderId="0" xfId="27" applyFill="1">
      <alignment/>
      <protection/>
    </xf>
    <xf numFmtId="0" fontId="72" fillId="8" borderId="0" xfId="26" applyFont="1" applyFill="1">
      <alignment/>
      <protection/>
    </xf>
    <xf numFmtId="4" fontId="65" fillId="9" borderId="9" xfId="27" applyNumberFormat="1" applyFont="1" applyFill="1" applyBorder="1" applyAlignment="1">
      <alignment horizontal="right" vertical="top"/>
      <protection/>
    </xf>
    <xf numFmtId="4" fontId="65" fillId="5" borderId="0" xfId="26" applyNumberFormat="1" applyFont="1" applyFill="1">
      <alignment/>
      <protection/>
    </xf>
    <xf numFmtId="4" fontId="64" fillId="0" borderId="0" xfId="26" applyNumberFormat="1" applyFont="1" applyAlignment="1">
      <alignment horizontal="right"/>
      <protection/>
    </xf>
    <xf numFmtId="0" fontId="72" fillId="0" borderId="0" xfId="26" applyFont="1">
      <alignment/>
      <protection/>
    </xf>
    <xf numFmtId="49" fontId="65" fillId="0" borderId="9" xfId="27" applyNumberFormat="1" applyFont="1" applyBorder="1" applyAlignment="1">
      <alignment horizontal="left" vertical="top" wrapText="1"/>
      <protection/>
    </xf>
    <xf numFmtId="49" fontId="65" fillId="0" borderId="9" xfId="27" applyNumberFormat="1" applyFont="1" applyBorder="1" applyAlignment="1">
      <alignment horizontal="center" vertical="top" wrapText="1"/>
      <protection/>
    </xf>
    <xf numFmtId="4" fontId="65" fillId="0" borderId="9" xfId="27" applyNumberFormat="1" applyFont="1" applyBorder="1" applyAlignment="1">
      <alignment horizontal="right" vertical="top"/>
      <protection/>
    </xf>
    <xf numFmtId="4" fontId="65" fillId="0" borderId="9" xfId="27" applyNumberFormat="1" applyFont="1" applyBorder="1" applyAlignment="1" applyProtection="1">
      <alignment horizontal="right" vertical="top"/>
      <protection locked="0"/>
    </xf>
    <xf numFmtId="49" fontId="65" fillId="9" borderId="9" xfId="27" applyNumberFormat="1" applyFont="1" applyFill="1" applyBorder="1" applyAlignment="1">
      <alignment horizontal="center" wrapText="1"/>
      <protection/>
    </xf>
    <xf numFmtId="4" fontId="65" fillId="10" borderId="0" xfId="26" applyNumberFormat="1" applyFont="1" applyFill="1">
      <alignment/>
      <protection/>
    </xf>
    <xf numFmtId="4" fontId="64" fillId="10" borderId="0" xfId="26" applyNumberFormat="1" applyFont="1" applyFill="1" applyAlignment="1">
      <alignment horizontal="right"/>
      <protection/>
    </xf>
    <xf numFmtId="0" fontId="27" fillId="10" borderId="0" xfId="26" applyFill="1">
      <alignment/>
      <protection/>
    </xf>
    <xf numFmtId="0" fontId="27" fillId="10" borderId="0" xfId="27" applyFill="1">
      <alignment/>
      <protection/>
    </xf>
    <xf numFmtId="0" fontId="72" fillId="10" borderId="0" xfId="26" applyFont="1" applyFill="1">
      <alignment/>
      <protection/>
    </xf>
    <xf numFmtId="49" fontId="64" fillId="9" borderId="9" xfId="26" applyNumberFormat="1" applyFont="1" applyFill="1" applyBorder="1" applyAlignment="1">
      <alignment horizontal="center" vertical="top" shrinkToFit="1"/>
      <protection/>
    </xf>
    <xf numFmtId="49" fontId="65" fillId="9" borderId="9" xfId="27" applyNumberFormat="1" applyFont="1" applyFill="1" applyBorder="1" applyAlignment="1">
      <alignment horizontal="left" wrapText="1"/>
      <protection/>
    </xf>
    <xf numFmtId="49" fontId="65" fillId="0" borderId="9" xfId="27" applyNumberFormat="1" applyFont="1" applyBorder="1" applyAlignment="1">
      <alignment horizontal="left" wrapText="1"/>
      <protection/>
    </xf>
    <xf numFmtId="49" fontId="64" fillId="0" borderId="9" xfId="26" applyNumberFormat="1" applyFont="1" applyBorder="1" applyAlignment="1">
      <alignment horizontal="center" vertical="top" shrinkToFit="1"/>
      <protection/>
    </xf>
    <xf numFmtId="3" fontId="64" fillId="0" borderId="9" xfId="27" applyNumberFormat="1" applyFont="1" applyBorder="1" applyAlignment="1">
      <alignment horizontal="left" vertical="top" wrapText="1"/>
      <protection/>
    </xf>
    <xf numFmtId="0" fontId="64" fillId="0" borderId="9" xfId="27" applyFont="1" applyBorder="1" applyAlignment="1">
      <alignment vertical="center" wrapText="1"/>
      <protection/>
    </xf>
    <xf numFmtId="49" fontId="65" fillId="5" borderId="9" xfId="27" applyNumberFormat="1" applyFont="1" applyFill="1" applyBorder="1" applyAlignment="1">
      <alignment horizontal="left" vertical="top" wrapText="1"/>
      <protection/>
    </xf>
    <xf numFmtId="4" fontId="65" fillId="5" borderId="9" xfId="27" applyNumberFormat="1" applyFont="1" applyFill="1" applyBorder="1" applyAlignment="1">
      <alignment horizontal="right" vertical="top"/>
      <protection/>
    </xf>
    <xf numFmtId="4" fontId="65" fillId="9" borderId="9" xfId="26" applyNumberFormat="1" applyFont="1" applyFill="1" applyBorder="1" applyAlignment="1">
      <alignment horizontal="right" vertical="top"/>
      <protection/>
    </xf>
    <xf numFmtId="4" fontId="65" fillId="9" borderId="9" xfId="27" applyNumberFormat="1" applyFont="1" applyFill="1" applyBorder="1" applyAlignment="1">
      <alignment vertical="top"/>
      <protection/>
    </xf>
    <xf numFmtId="2" fontId="65" fillId="5" borderId="9" xfId="27" applyNumberFormat="1" applyFont="1" applyFill="1" applyBorder="1" applyAlignment="1">
      <alignment horizontal="right" vertical="top"/>
      <protection/>
    </xf>
    <xf numFmtId="2" fontId="65" fillId="5" borderId="9" xfId="27" applyNumberFormat="1" applyFont="1" applyFill="1" applyBorder="1" applyAlignment="1" applyProtection="1">
      <alignment horizontal="right" vertical="top"/>
      <protection locked="0"/>
    </xf>
    <xf numFmtId="4" fontId="67" fillId="5" borderId="9" xfId="27" applyNumberFormat="1" applyFont="1" applyFill="1" applyBorder="1" applyAlignment="1" applyProtection="1">
      <alignment horizontal="right" vertical="top"/>
      <protection locked="0"/>
    </xf>
    <xf numFmtId="4" fontId="76" fillId="5" borderId="9" xfId="26" applyNumberFormat="1" applyFont="1" applyFill="1" applyBorder="1">
      <alignment/>
      <protection/>
    </xf>
    <xf numFmtId="0" fontId="27" fillId="5" borderId="0" xfId="26" applyFont="1" applyFill="1" applyAlignment="1">
      <alignment horizontal="center" vertical="top"/>
      <protection/>
    </xf>
    <xf numFmtId="49" fontId="65" fillId="5" borderId="0" xfId="27" applyNumberFormat="1" applyFont="1" applyFill="1" applyAlignment="1">
      <alignment horizontal="left" vertical="top" wrapText="1"/>
      <protection/>
    </xf>
    <xf numFmtId="2" fontId="65" fillId="5" borderId="0" xfId="27" applyNumberFormat="1" applyFont="1" applyFill="1" applyAlignment="1">
      <alignment horizontal="right" vertical="top"/>
      <protection/>
    </xf>
    <xf numFmtId="0" fontId="77" fillId="0" borderId="0" xfId="26" applyFont="1">
      <alignment/>
      <protection/>
    </xf>
    <xf numFmtId="0" fontId="78" fillId="0" borderId="0" xfId="26" applyFont="1">
      <alignment/>
      <protection/>
    </xf>
    <xf numFmtId="3" fontId="78" fillId="0" borderId="0" xfId="26" applyNumberFormat="1" applyFont="1" applyAlignment="1">
      <alignment horizontal="right"/>
      <protection/>
    </xf>
    <xf numFmtId="4" fontId="78" fillId="0" borderId="0" xfId="26" applyNumberFormat="1" applyFont="1">
      <alignment/>
      <protection/>
    </xf>
    <xf numFmtId="0" fontId="27" fillId="0" borderId="0" xfId="26" applyAlignment="1">
      <alignment horizontal="right"/>
      <protection/>
    </xf>
    <xf numFmtId="0" fontId="27" fillId="0" borderId="0" xfId="30" applyAlignment="1">
      <alignment vertical="center"/>
    </xf>
    <xf numFmtId="49" fontId="77" fillId="8" borderId="68" xfId="30" applyNumberFormat="1" applyFont="1" applyFill="1" applyBorder="1" applyAlignment="1">
      <alignment horizontal="center" vertical="center" wrapText="1"/>
    </xf>
    <xf numFmtId="0" fontId="77" fillId="8" borderId="69" xfId="30" applyFont="1" applyFill="1" applyBorder="1" applyAlignment="1">
      <alignment horizontal="center" vertical="center" wrapText="1"/>
    </xf>
    <xf numFmtId="0" fontId="80" fillId="8" borderId="69" xfId="30" applyFont="1" applyFill="1" applyBorder="1" applyAlignment="1">
      <alignment horizontal="center" vertical="center" wrapText="1"/>
    </xf>
    <xf numFmtId="0" fontId="80" fillId="8" borderId="50" xfId="30" applyFont="1" applyFill="1" applyBorder="1" applyAlignment="1">
      <alignment horizontal="center" vertical="center" wrapText="1"/>
    </xf>
    <xf numFmtId="0" fontId="80" fillId="0" borderId="0" xfId="30" applyFont="1" applyAlignment="1">
      <alignment horizontal="center" vertical="center" wrapText="1"/>
    </xf>
    <xf numFmtId="0" fontId="64" fillId="9" borderId="70" xfId="29" applyNumberFormat="1" applyFont="1" applyFill="1" applyBorder="1" applyAlignment="1">
      <alignment horizontal="center" vertical="center" wrapText="1"/>
    </xf>
    <xf numFmtId="0" fontId="81" fillId="0" borderId="71" xfId="30" applyFont="1" applyBorder="1" applyAlignment="1">
      <alignment vertical="center" wrapText="1"/>
    </xf>
    <xf numFmtId="3" fontId="64" fillId="0" borderId="71" xfId="30" applyNumberFormat="1" applyFont="1" applyBorder="1" applyAlignment="1">
      <alignment horizontal="center" vertical="center" wrapText="1"/>
    </xf>
    <xf numFmtId="0" fontId="64" fillId="0" borderId="71" xfId="30" applyFont="1" applyBorder="1" applyAlignment="1">
      <alignment horizontal="center" vertical="center" wrapText="1"/>
    </xf>
    <xf numFmtId="4" fontId="64" fillId="0" borderId="71" xfId="30" applyNumberFormat="1" applyFont="1" applyBorder="1" applyAlignment="1">
      <alignment horizontal="right" vertical="center"/>
    </xf>
    <xf numFmtId="0" fontId="64" fillId="9" borderId="0" xfId="30" applyFont="1" applyFill="1" applyAlignment="1">
      <alignment vertical="center"/>
    </xf>
    <xf numFmtId="0" fontId="64" fillId="9" borderId="72" xfId="29" applyNumberFormat="1" applyFont="1" applyFill="1" applyBorder="1" applyAlignment="1">
      <alignment horizontal="center" vertical="center" wrapText="1"/>
    </xf>
    <xf numFmtId="0" fontId="64" fillId="0" borderId="73" xfId="30" applyFont="1" applyBorder="1" applyAlignment="1">
      <alignment vertical="center" wrapText="1"/>
    </xf>
    <xf numFmtId="4" fontId="64" fillId="0" borderId="73" xfId="30" applyNumberFormat="1" applyFont="1" applyBorder="1" applyAlignment="1">
      <alignment horizontal="center" vertical="center" wrapText="1"/>
    </xf>
    <xf numFmtId="0" fontId="64" fillId="0" borderId="73" xfId="30" applyFont="1" applyBorder="1" applyAlignment="1">
      <alignment horizontal="center" vertical="center" wrapText="1"/>
    </xf>
    <xf numFmtId="4" fontId="64" fillId="0" borderId="73" xfId="30" applyNumberFormat="1" applyFont="1" applyBorder="1" applyAlignment="1">
      <alignment horizontal="right" vertical="center"/>
    </xf>
    <xf numFmtId="0" fontId="81" fillId="9" borderId="72" xfId="29" applyNumberFormat="1" applyFont="1" applyFill="1" applyBorder="1" applyAlignment="1">
      <alignment horizontal="center" vertical="center" wrapText="1"/>
    </xf>
    <xf numFmtId="0" fontId="81" fillId="0" borderId="73" xfId="30" applyFont="1" applyBorder="1" applyAlignment="1">
      <alignment vertical="center" wrapText="1"/>
    </xf>
    <xf numFmtId="4" fontId="81" fillId="0" borderId="73" xfId="30" applyNumberFormat="1" applyFont="1" applyBorder="1" applyAlignment="1">
      <alignment horizontal="center" vertical="center" wrapText="1"/>
    </xf>
    <xf numFmtId="0" fontId="81" fillId="0" borderId="73" xfId="30" applyFont="1" applyBorder="1" applyAlignment="1">
      <alignment horizontal="center" vertical="center" wrapText="1"/>
    </xf>
    <xf numFmtId="4" fontId="81" fillId="0" borderId="73" xfId="30" applyNumberFormat="1" applyFont="1" applyBorder="1" applyAlignment="1">
      <alignment horizontal="right" vertical="center"/>
    </xf>
    <xf numFmtId="0" fontId="81" fillId="9" borderId="0" xfId="30" applyFont="1" applyFill="1" applyAlignment="1">
      <alignment vertical="center"/>
    </xf>
    <xf numFmtId="0" fontId="82" fillId="10" borderId="72" xfId="29" applyNumberFormat="1" applyFont="1" applyFill="1" applyBorder="1" applyAlignment="1">
      <alignment horizontal="center" vertical="center" wrapText="1"/>
    </xf>
    <xf numFmtId="0" fontId="82" fillId="10" borderId="73" xfId="30" applyFont="1" applyFill="1" applyBorder="1" applyAlignment="1">
      <alignment vertical="center" wrapText="1"/>
    </xf>
    <xf numFmtId="4" fontId="82" fillId="10" borderId="73" xfId="30" applyNumberFormat="1" applyFont="1" applyFill="1" applyBorder="1" applyAlignment="1">
      <alignment horizontal="center" vertical="center" wrapText="1"/>
    </xf>
    <xf numFmtId="0" fontId="82" fillId="10" borderId="73" xfId="30" applyFont="1" applyFill="1" applyBorder="1" applyAlignment="1">
      <alignment horizontal="center" vertical="center" wrapText="1"/>
    </xf>
    <xf numFmtId="4" fontId="82" fillId="10" borderId="73" xfId="30" applyNumberFormat="1" applyFont="1" applyFill="1" applyBorder="1" applyAlignment="1">
      <alignment horizontal="right" vertical="center"/>
    </xf>
    <xf numFmtId="0" fontId="82" fillId="9" borderId="0" xfId="30" applyFont="1" applyFill="1" applyAlignment="1">
      <alignment vertical="center"/>
    </xf>
    <xf numFmtId="49" fontId="64" fillId="0" borderId="72" xfId="29" applyNumberFormat="1" applyFont="1" applyBorder="1" applyAlignment="1">
      <alignment horizontal="center" vertical="center" wrapText="1"/>
    </xf>
    <xf numFmtId="0" fontId="64" fillId="0" borderId="73" xfId="30" applyFont="1" applyBorder="1" applyAlignment="1">
      <alignment vertical="center" wrapText="1"/>
    </xf>
    <xf numFmtId="3" fontId="64" fillId="0" borderId="73" xfId="30" applyNumberFormat="1" applyFont="1" applyBorder="1" applyAlignment="1">
      <alignment horizontal="center" vertical="center"/>
    </xf>
    <xf numFmtId="49" fontId="83" fillId="15" borderId="74" xfId="30" applyNumberFormat="1" applyFont="1" applyFill="1" applyBorder="1" applyAlignment="1">
      <alignment horizontal="left" vertical="center"/>
    </xf>
    <xf numFmtId="0" fontId="84" fillId="15" borderId="75" xfId="30" applyFont="1" applyFill="1" applyBorder="1" applyAlignment="1">
      <alignment horizontal="left" vertical="center" wrapText="1"/>
    </xf>
    <xf numFmtId="1" fontId="83" fillId="15" borderId="75" xfId="30" applyNumberFormat="1" applyFont="1" applyFill="1" applyBorder="1" applyAlignment="1">
      <alignment horizontal="center" vertical="center"/>
    </xf>
    <xf numFmtId="49" fontId="83" fillId="15" borderId="75" xfId="30" applyNumberFormat="1" applyFont="1" applyFill="1" applyBorder="1" applyAlignment="1">
      <alignment horizontal="left" vertical="center" wrapText="1"/>
    </xf>
    <xf numFmtId="49" fontId="27" fillId="0" borderId="0" xfId="30" applyNumberFormat="1" applyAlignment="1">
      <alignment horizontal="left" vertical="center"/>
    </xf>
    <xf numFmtId="0" fontId="64" fillId="0" borderId="0" xfId="30" applyFont="1" applyAlignment="1">
      <alignment horizontal="left" vertical="center" wrapText="1"/>
    </xf>
    <xf numFmtId="1" fontId="64" fillId="0" borderId="0" xfId="30" applyNumberFormat="1" applyFont="1" applyAlignment="1">
      <alignment horizontal="center" vertical="center"/>
    </xf>
    <xf numFmtId="49" fontId="64" fillId="0" borderId="0" xfId="30" applyNumberFormat="1" applyFont="1" applyAlignment="1">
      <alignment horizontal="left" vertical="center" wrapText="1"/>
    </xf>
    <xf numFmtId="49" fontId="36" fillId="11" borderId="9" xfId="26" applyNumberFormat="1" applyFont="1" applyFill="1" applyBorder="1" applyAlignment="1">
      <alignment horizontal="center"/>
      <protection/>
    </xf>
    <xf numFmtId="0" fontId="36" fillId="11" borderId="9" xfId="26" applyFont="1" applyFill="1" applyBorder="1" applyAlignment="1">
      <alignment horizontal="center"/>
      <protection/>
    </xf>
    <xf numFmtId="49" fontId="20" fillId="8" borderId="9" xfId="24" applyNumberFormat="1" applyFont="1" applyFill="1" applyBorder="1" applyAlignment="1">
      <alignment horizontal="left" vertical="top" wrapText="1"/>
      <protection/>
    </xf>
    <xf numFmtId="2" fontId="20" fillId="8" borderId="9" xfId="24" applyNumberFormat="1" applyFont="1" applyFill="1" applyBorder="1" applyAlignment="1">
      <alignment horizontal="right" vertical="top"/>
      <protection/>
    </xf>
    <xf numFmtId="0" fontId="27" fillId="9" borderId="9" xfId="26" applyFont="1" applyFill="1" applyBorder="1" applyAlignment="1">
      <alignment horizontal="center" vertical="top"/>
      <protection/>
    </xf>
    <xf numFmtId="0" fontId="27" fillId="0" borderId="9" xfId="24" applyFont="1" applyBorder="1" applyAlignment="1">
      <alignment vertical="top"/>
      <protection/>
    </xf>
    <xf numFmtId="0" fontId="1" fillId="0" borderId="9" xfId="26" applyFont="1" applyBorder="1" applyAlignment="1">
      <alignment vertical="top" wrapText="1"/>
      <protection/>
    </xf>
    <xf numFmtId="49" fontId="27" fillId="0" borderId="9" xfId="26" applyNumberFormat="1" applyFont="1" applyBorder="1" applyAlignment="1">
      <alignment horizontal="center" vertical="top" wrapText="1" shrinkToFit="1"/>
      <protection/>
    </xf>
    <xf numFmtId="2" fontId="1" fillId="0" borderId="9" xfId="26" applyNumberFormat="1" applyFont="1" applyBorder="1" applyAlignment="1">
      <alignment horizontal="center" vertical="top" wrapText="1"/>
      <protection/>
    </xf>
    <xf numFmtId="44" fontId="1" fillId="9" borderId="9" xfId="31" applyFont="1" applyFill="1" applyBorder="1" applyAlignment="1" applyProtection="1">
      <alignment horizontal="right" vertical="top" wrapText="1"/>
      <protection locked="0"/>
    </xf>
    <xf numFmtId="4" fontId="1" fillId="0" borderId="9" xfId="26" applyNumberFormat="1" applyFont="1" applyBorder="1" applyAlignment="1">
      <alignment horizontal="right" vertical="top" wrapText="1"/>
      <protection/>
    </xf>
    <xf numFmtId="0" fontId="28" fillId="0" borderId="0" xfId="24" applyFont="1">
      <alignment/>
      <protection/>
    </xf>
    <xf numFmtId="0" fontId="28" fillId="0" borderId="9" xfId="24" applyFont="1" applyBorder="1">
      <alignment/>
      <protection/>
    </xf>
    <xf numFmtId="0" fontId="85" fillId="0" borderId="9" xfId="24" applyFont="1" applyBorder="1" applyAlignment="1">
      <alignment wrapText="1"/>
      <protection/>
    </xf>
    <xf numFmtId="0" fontId="28" fillId="0" borderId="9" xfId="24" applyFont="1" applyBorder="1" applyAlignment="1">
      <alignment horizontal="center" wrapText="1"/>
      <protection/>
    </xf>
    <xf numFmtId="2" fontId="28" fillId="0" borderId="9" xfId="24" applyNumberFormat="1" applyFont="1" applyBorder="1" applyAlignment="1">
      <alignment horizontal="center" wrapText="1"/>
      <protection/>
    </xf>
    <xf numFmtId="44" fontId="28" fillId="0" borderId="9" xfId="31" applyFont="1" applyBorder="1" applyAlignment="1" applyProtection="1">
      <alignment wrapText="1"/>
      <protection locked="0"/>
    </xf>
    <xf numFmtId="8" fontId="0" fillId="0" borderId="0" xfId="24" applyNumberFormat="1">
      <alignment/>
      <protection/>
    </xf>
    <xf numFmtId="0" fontId="1" fillId="0" borderId="7" xfId="21" applyFont="1" applyBorder="1" applyAlignment="1">
      <alignment vertical="center"/>
      <protection/>
    </xf>
    <xf numFmtId="49" fontId="22" fillId="0" borderId="7" xfId="21" applyNumberFormat="1" applyFont="1" applyBorder="1" applyAlignment="1">
      <alignment horizontal="right" vertical="top"/>
      <protection/>
    </xf>
    <xf numFmtId="4" fontId="1" fillId="0" borderId="0" xfId="21" applyNumberFormat="1" applyFont="1" applyAlignment="1" applyProtection="1">
      <alignment horizontal="right" vertical="center"/>
      <protection locked="0"/>
    </xf>
    <xf numFmtId="4" fontId="1" fillId="5" borderId="32" xfId="21" applyNumberFormat="1" applyFont="1" applyFill="1" applyBorder="1" applyAlignment="1" applyProtection="1">
      <alignment horizontal="right" vertical="center"/>
      <protection locked="0"/>
    </xf>
    <xf numFmtId="0" fontId="1" fillId="0" borderId="0" xfId="22" applyFont="1" applyAlignment="1" applyProtection="1">
      <alignment vertical="center"/>
      <protection locked="0"/>
    </xf>
    <xf numFmtId="4" fontId="1" fillId="0" borderId="0" xfId="22" applyNumberFormat="1" applyFont="1" applyAlignment="1" applyProtection="1">
      <alignment horizontal="right" vertical="center"/>
      <protection locked="0"/>
    </xf>
    <xf numFmtId="4" fontId="1" fillId="5" borderId="32" xfId="22" applyNumberFormat="1" applyFont="1" applyFill="1" applyBorder="1" applyAlignment="1" applyProtection="1">
      <alignment horizontal="right" vertical="center"/>
      <protection locked="0"/>
    </xf>
    <xf numFmtId="4" fontId="1" fillId="5" borderId="34" xfId="22" applyNumberFormat="1" applyFont="1" applyFill="1" applyBorder="1" applyAlignment="1" applyProtection="1">
      <alignment horizontal="right" vertical="center"/>
      <protection locked="0"/>
    </xf>
    <xf numFmtId="164" fontId="2" fillId="0" borderId="76" xfId="20" applyNumberFormat="1" applyFont="1" applyBorder="1" applyAlignment="1" applyProtection="1">
      <alignment horizontal="center" vertical="center"/>
      <protection/>
    </xf>
    <xf numFmtId="164" fontId="5" fillId="0" borderId="30" xfId="20" applyNumberFormat="1" applyFont="1" applyBorder="1" applyAlignment="1" applyProtection="1">
      <alignment horizontal="center"/>
      <protection/>
    </xf>
    <xf numFmtId="164" fontId="2" fillId="0" borderId="30" xfId="20" applyNumberFormat="1" applyFont="1" applyBorder="1" applyAlignment="1" applyProtection="1">
      <alignment horizontal="center" vertical="center"/>
      <protection/>
    </xf>
    <xf numFmtId="164" fontId="2" fillId="0" borderId="3" xfId="20" applyNumberFormat="1" applyFont="1" applyBorder="1" applyAlignment="1" applyProtection="1">
      <alignment horizontal="center" vertical="center"/>
      <protection/>
    </xf>
    <xf numFmtId="164" fontId="2" fillId="0" borderId="6" xfId="20" applyNumberFormat="1" applyFont="1" applyBorder="1" applyAlignment="1" applyProtection="1">
      <alignment horizontal="center" vertical="center"/>
      <protection/>
    </xf>
    <xf numFmtId="164" fontId="5" fillId="0" borderId="3" xfId="20" applyNumberFormat="1" applyFont="1" applyBorder="1" applyAlignment="1" applyProtection="1">
      <alignment horizontal="center"/>
      <protection/>
    </xf>
    <xf numFmtId="49" fontId="1" fillId="0" borderId="0" xfId="22" applyNumberFormat="1" applyFont="1" applyAlignment="1">
      <alignment horizontal="left" vertical="center"/>
      <protection/>
    </xf>
    <xf numFmtId="49" fontId="20" fillId="3" borderId="0" xfId="22" applyNumberFormat="1" applyFont="1" applyFill="1" applyAlignment="1">
      <alignment horizontal="left" vertical="center"/>
      <protection/>
    </xf>
    <xf numFmtId="49" fontId="20" fillId="7" borderId="0" xfId="22" applyNumberFormat="1" applyFont="1" applyFill="1" applyAlignment="1">
      <alignment horizontal="left" vertical="center"/>
      <protection/>
    </xf>
    <xf numFmtId="49" fontId="20" fillId="3" borderId="22" xfId="22" applyNumberFormat="1" applyFont="1" applyFill="1" applyBorder="1" applyAlignment="1">
      <alignment horizontal="left" vertical="center"/>
      <protection/>
    </xf>
    <xf numFmtId="0" fontId="88" fillId="0" borderId="0" xfId="27" applyFont="1" applyAlignment="1" applyProtection="1">
      <alignment vertical="center"/>
      <protection locked="0"/>
    </xf>
    <xf numFmtId="0" fontId="88" fillId="0" borderId="9" xfId="27" applyFont="1" applyBorder="1" applyAlignment="1" applyProtection="1">
      <alignment horizontal="center" vertical="center"/>
      <protection locked="0"/>
    </xf>
    <xf numFmtId="0" fontId="87" fillId="0" borderId="9" xfId="27" applyFont="1" applyBorder="1" applyAlignment="1">
      <alignment horizontal="center" vertical="center"/>
      <protection/>
    </xf>
    <xf numFmtId="0" fontId="88" fillId="0" borderId="9" xfId="27" applyFont="1" applyBorder="1" applyAlignment="1">
      <alignment horizontal="center" vertical="center"/>
      <protection/>
    </xf>
    <xf numFmtId="0" fontId="88" fillId="0" borderId="0" xfId="27" applyFont="1" applyAlignment="1">
      <alignment horizontal="center" vertical="center"/>
      <protection/>
    </xf>
    <xf numFmtId="0" fontId="88" fillId="16" borderId="9" xfId="27" applyFont="1" applyFill="1" applyBorder="1" applyAlignment="1" applyProtection="1">
      <alignment horizontal="center" vertical="center" textRotation="90" wrapText="1"/>
      <protection locked="0"/>
    </xf>
    <xf numFmtId="0" fontId="88" fillId="16" borderId="9" xfId="27" applyFont="1" applyFill="1" applyBorder="1" applyAlignment="1" applyProtection="1">
      <alignment horizontal="center" vertical="center" wrapText="1"/>
      <protection locked="0"/>
    </xf>
    <xf numFmtId="0" fontId="88" fillId="16" borderId="9" xfId="27" applyFont="1" applyFill="1" applyBorder="1" applyAlignment="1" applyProtection="1">
      <alignment horizontal="center" vertical="center"/>
      <protection locked="0"/>
    </xf>
    <xf numFmtId="3" fontId="88" fillId="16" borderId="9" xfId="27" applyNumberFormat="1" applyFont="1" applyFill="1" applyBorder="1" applyAlignment="1" applyProtection="1">
      <alignment horizontal="center" vertical="center" textRotation="90" wrapText="1"/>
      <protection locked="0"/>
    </xf>
    <xf numFmtId="0" fontId="88" fillId="0" borderId="0" xfId="27" applyFont="1" applyAlignment="1" applyProtection="1">
      <alignment vertical="center" wrapText="1"/>
      <protection locked="0"/>
    </xf>
    <xf numFmtId="0" fontId="89" fillId="0" borderId="9" xfId="27" applyFont="1" applyBorder="1" applyAlignment="1" applyProtection="1">
      <alignment horizontal="center" vertical="center"/>
      <protection locked="0"/>
    </xf>
    <xf numFmtId="0" fontId="90" fillId="0" borderId="9" xfId="27" applyFont="1" applyBorder="1" applyAlignment="1">
      <alignment vertical="center"/>
      <protection/>
    </xf>
    <xf numFmtId="49" fontId="91" fillId="0" borderId="9" xfId="27" applyNumberFormat="1" applyFont="1" applyBorder="1" applyAlignment="1" applyProtection="1">
      <alignment horizontal="center" vertical="center"/>
      <protection locked="0"/>
    </xf>
    <xf numFmtId="0" fontId="91" fillId="0" borderId="9" xfId="27" applyFont="1" applyBorder="1" applyAlignment="1" applyProtection="1">
      <alignment horizontal="center" vertical="center"/>
      <protection locked="0"/>
    </xf>
    <xf numFmtId="0" fontId="91" fillId="0" borderId="9" xfId="27" applyFont="1" applyBorder="1" applyAlignment="1">
      <alignment horizontal="center" vertical="center"/>
      <protection/>
    </xf>
    <xf numFmtId="0" fontId="92" fillId="0" borderId="9" xfId="27" applyFont="1" applyBorder="1" applyAlignment="1">
      <alignment horizontal="center" vertical="center"/>
      <protection/>
    </xf>
    <xf numFmtId="0" fontId="88" fillId="0" borderId="0" xfId="27" applyFont="1" applyAlignment="1" applyProtection="1">
      <alignment horizontal="center" vertical="center"/>
      <protection locked="0"/>
    </xf>
    <xf numFmtId="0" fontId="93" fillId="0" borderId="0" xfId="27" applyFont="1" applyAlignment="1">
      <alignment vertical="center"/>
      <protection/>
    </xf>
    <xf numFmtId="49" fontId="88" fillId="0" borderId="0" xfId="27" applyNumberFormat="1" applyFont="1" applyAlignment="1" applyProtection="1">
      <alignment horizontal="center" vertical="center"/>
      <protection locked="0"/>
    </xf>
    <xf numFmtId="49" fontId="88" fillId="0" borderId="9" xfId="27" applyNumberFormat="1" applyFont="1" applyBorder="1" applyAlignment="1" applyProtection="1">
      <alignment horizontal="center" vertical="center"/>
      <protection locked="0"/>
    </xf>
    <xf numFmtId="0" fontId="91" fillId="0" borderId="9" xfId="27" applyFont="1" applyBorder="1" applyAlignment="1">
      <alignment vertical="center"/>
      <protection/>
    </xf>
    <xf numFmtId="0" fontId="90" fillId="0" borderId="9" xfId="27" applyFont="1" applyBorder="1" applyAlignment="1">
      <alignment horizontal="center" vertical="center"/>
      <protection/>
    </xf>
    <xf numFmtId="0" fontId="91" fillId="0" borderId="0" xfId="27" applyFont="1" applyAlignment="1" applyProtection="1">
      <alignment horizontal="center" vertical="center"/>
      <protection locked="0"/>
    </xf>
    <xf numFmtId="0" fontId="90" fillId="0" borderId="0" xfId="27" applyFont="1" applyAlignment="1">
      <alignment vertical="center"/>
      <protection/>
    </xf>
    <xf numFmtId="49" fontId="91" fillId="0" borderId="0" xfId="27" applyNumberFormat="1" applyFont="1" applyAlignment="1" applyProtection="1">
      <alignment horizontal="center" vertical="center"/>
      <protection locked="0"/>
    </xf>
    <xf numFmtId="1" fontId="87" fillId="0" borderId="0" xfId="27" applyNumberFormat="1" applyFont="1" applyAlignment="1" applyProtection="1">
      <alignment horizontal="center" vertical="center"/>
      <protection locked="0"/>
    </xf>
    <xf numFmtId="1" fontId="91" fillId="0" borderId="9" xfId="27" applyNumberFormat="1" applyFont="1" applyBorder="1" applyAlignment="1" applyProtection="1">
      <alignment horizontal="center" vertical="center"/>
      <protection locked="0"/>
    </xf>
    <xf numFmtId="0" fontId="8" fillId="0" borderId="0" xfId="24" applyFont="1">
      <alignment/>
      <protection/>
    </xf>
    <xf numFmtId="49" fontId="1" fillId="0" borderId="7" xfId="22" applyNumberFormat="1" applyFont="1" applyBorder="1" applyAlignment="1">
      <alignment horizontal="left" vertical="center"/>
      <protection/>
    </xf>
    <xf numFmtId="4" fontId="1" fillId="0" borderId="7" xfId="22" applyNumberFormat="1" applyFont="1" applyBorder="1" applyAlignment="1">
      <alignment horizontal="right" vertical="center"/>
      <protection/>
    </xf>
    <xf numFmtId="49" fontId="1" fillId="0" borderId="7" xfId="22" applyNumberFormat="1" applyFont="1" applyBorder="1" applyAlignment="1">
      <alignment horizontal="right" vertical="center"/>
      <protection/>
    </xf>
    <xf numFmtId="49" fontId="1" fillId="7" borderId="0" xfId="22" applyNumberFormat="1" applyFont="1" applyFill="1" applyAlignment="1" applyProtection="1">
      <alignment horizontal="left" vertical="center"/>
      <protection locked="0"/>
    </xf>
    <xf numFmtId="49" fontId="1" fillId="3" borderId="0" xfId="22" applyNumberFormat="1" applyFont="1" applyFill="1" applyAlignment="1" applyProtection="1">
      <alignment horizontal="left" vertical="center"/>
      <protection locked="0"/>
    </xf>
    <xf numFmtId="49" fontId="1" fillId="6" borderId="32" xfId="22" applyNumberFormat="1" applyFont="1" applyFill="1" applyBorder="1" applyAlignment="1" applyProtection="1">
      <alignment horizontal="left" vertical="center"/>
      <protection locked="0"/>
    </xf>
    <xf numFmtId="4" fontId="1" fillId="0" borderId="7" xfId="22" applyNumberFormat="1" applyFont="1" applyBorder="1" applyAlignment="1" applyProtection="1">
      <alignment horizontal="right" vertical="center"/>
      <protection locked="0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17" borderId="5" xfId="0" applyFont="1" applyFill="1" applyBorder="1" applyAlignment="1">
      <alignment horizontal="left"/>
    </xf>
    <xf numFmtId="0" fontId="5" fillId="17" borderId="76" xfId="0" applyFont="1" applyFill="1" applyBorder="1" applyAlignment="1">
      <alignment horizontal="left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5" fillId="17" borderId="1" xfId="0" applyFont="1" applyFill="1" applyBorder="1" applyAlignment="1">
      <alignment horizontal="left"/>
    </xf>
    <xf numFmtId="0" fontId="5" fillId="17" borderId="3" xfId="0" applyFont="1" applyFill="1" applyBorder="1" applyAlignment="1">
      <alignment horizontal="left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5" fillId="18" borderId="79" xfId="0" applyFont="1" applyFill="1" applyBorder="1" applyAlignment="1">
      <alignment horizontal="left"/>
    </xf>
    <xf numFmtId="0" fontId="5" fillId="18" borderId="80" xfId="0" applyFont="1" applyFill="1" applyBorder="1" applyAlignment="1">
      <alignment horizontal="left"/>
    </xf>
    <xf numFmtId="0" fontId="3" fillId="0" borderId="51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/>
      <protection/>
    </xf>
    <xf numFmtId="0" fontId="9" fillId="0" borderId="36" xfId="22" applyFont="1" applyBorder="1" applyAlignment="1">
      <alignment horizontal="left" vertical="center" wrapText="1"/>
      <protection/>
    </xf>
    <xf numFmtId="0" fontId="9" fillId="0" borderId="12" xfId="22" applyFont="1" applyBorder="1" applyAlignment="1">
      <alignment horizontal="left" vertical="center"/>
      <protection/>
    </xf>
    <xf numFmtId="0" fontId="9" fillId="0" borderId="8" xfId="22" applyFont="1" applyBorder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left" vertical="center"/>
      <protection/>
    </xf>
    <xf numFmtId="0" fontId="11" fillId="0" borderId="0" xfId="22" applyFont="1" applyAlignment="1">
      <alignment horizontal="left" vertical="center"/>
      <protection/>
    </xf>
    <xf numFmtId="0" fontId="9" fillId="0" borderId="12" xfId="22" applyFont="1" applyBorder="1" applyAlignment="1">
      <alignment horizontal="left" vertical="center" wrapText="1"/>
      <protection/>
    </xf>
    <xf numFmtId="49" fontId="9" fillId="0" borderId="13" xfId="22" applyNumberFormat="1" applyFont="1" applyBorder="1" applyAlignment="1">
      <alignment horizontal="left" vertical="center"/>
      <protection/>
    </xf>
    <xf numFmtId="0" fontId="9" fillId="0" borderId="17" xfId="22" applyFont="1" applyBorder="1" applyAlignment="1">
      <alignment horizontal="left" vertical="center"/>
      <protection/>
    </xf>
    <xf numFmtId="49" fontId="9" fillId="0" borderId="17" xfId="22" applyNumberFormat="1" applyFont="1" applyBorder="1" applyAlignment="1">
      <alignment horizontal="left" vertical="center"/>
      <protection/>
    </xf>
    <xf numFmtId="0" fontId="9" fillId="0" borderId="8" xfId="22" applyFont="1" applyBorder="1" applyAlignment="1">
      <alignment horizontal="left" vertical="center" wrapText="1"/>
      <protection/>
    </xf>
    <xf numFmtId="0" fontId="9" fillId="0" borderId="0" xfId="22" applyFont="1" applyAlignment="1">
      <alignment horizontal="left" vertical="center" wrapText="1"/>
      <protection/>
    </xf>
    <xf numFmtId="0" fontId="9" fillId="0" borderId="17" xfId="22" applyFont="1" applyBorder="1" applyAlignment="1">
      <alignment horizontal="left" vertical="center" wrapText="1"/>
      <protection/>
    </xf>
    <xf numFmtId="0" fontId="9" fillId="0" borderId="37" xfId="22" applyFont="1" applyBorder="1" applyAlignment="1">
      <alignment horizontal="left" vertical="center"/>
      <protection/>
    </xf>
    <xf numFmtId="49" fontId="9" fillId="0" borderId="0" xfId="22" applyNumberFormat="1" applyFont="1" applyAlignment="1">
      <alignment horizontal="left" vertical="center"/>
      <protection/>
    </xf>
    <xf numFmtId="0" fontId="9" fillId="0" borderId="19" xfId="22" applyFont="1" applyBorder="1" applyAlignment="1">
      <alignment horizontal="left" vertical="center"/>
      <protection/>
    </xf>
    <xf numFmtId="0" fontId="9" fillId="0" borderId="7" xfId="22" applyFont="1" applyBorder="1" applyAlignment="1">
      <alignment horizontal="left" vertical="center"/>
      <protection/>
    </xf>
    <xf numFmtId="49" fontId="12" fillId="0" borderId="52" xfId="22" applyNumberFormat="1" applyFont="1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49" fontId="14" fillId="0" borderId="16" xfId="22" applyNumberFormat="1" applyFont="1" applyBorder="1" applyAlignment="1">
      <alignment horizontal="left" vertical="center"/>
      <protection/>
    </xf>
    <xf numFmtId="0" fontId="14" fillId="0" borderId="18" xfId="22" applyFont="1" applyBorder="1" applyAlignment="1">
      <alignment horizontal="left" vertical="center"/>
      <protection/>
    </xf>
    <xf numFmtId="49" fontId="16" fillId="0" borderId="36" xfId="22" applyNumberFormat="1" applyFont="1" applyBorder="1" applyAlignment="1">
      <alignment horizontal="left" vertical="center" wrapText="1"/>
      <protection/>
    </xf>
    <xf numFmtId="49" fontId="16" fillId="0" borderId="13" xfId="22" applyNumberFormat="1" applyFont="1" applyBorder="1" applyAlignment="1">
      <alignment horizontal="left" vertical="center" wrapText="1"/>
      <protection/>
    </xf>
    <xf numFmtId="49" fontId="16" fillId="0" borderId="8" xfId="22" applyNumberFormat="1" applyFont="1" applyBorder="1" applyAlignment="1">
      <alignment horizontal="left" vertical="center" wrapText="1"/>
      <protection/>
    </xf>
    <xf numFmtId="49" fontId="16" fillId="0" borderId="17" xfId="22" applyNumberFormat="1" applyFont="1" applyBorder="1" applyAlignment="1">
      <alignment horizontal="left" vertical="center" wrapText="1"/>
      <protection/>
    </xf>
    <xf numFmtId="49" fontId="16" fillId="0" borderId="19" xfId="22" applyNumberFormat="1" applyFont="1" applyBorder="1" applyAlignment="1">
      <alignment horizontal="left" vertical="center" wrapText="1"/>
      <protection/>
    </xf>
    <xf numFmtId="49" fontId="16" fillId="0" borderId="37" xfId="22" applyNumberFormat="1" applyFont="1" applyBorder="1" applyAlignment="1">
      <alignment horizontal="left" vertical="center" wrapText="1"/>
      <protection/>
    </xf>
    <xf numFmtId="4" fontId="16" fillId="0" borderId="10" xfId="22" applyNumberFormat="1" applyFont="1" applyBorder="1" applyAlignment="1" applyProtection="1">
      <alignment horizontal="right" vertical="center"/>
      <protection locked="0"/>
    </xf>
    <xf numFmtId="4" fontId="16" fillId="0" borderId="60" xfId="22" applyNumberFormat="1" applyFont="1" applyBorder="1" applyAlignment="1" applyProtection="1">
      <alignment horizontal="right" vertical="center"/>
      <protection locked="0"/>
    </xf>
    <xf numFmtId="4" fontId="16" fillId="0" borderId="11" xfId="22" applyNumberFormat="1" applyFont="1" applyBorder="1" applyAlignment="1" applyProtection="1">
      <alignment horizontal="right" vertical="center"/>
      <protection locked="0"/>
    </xf>
    <xf numFmtId="49" fontId="15" fillId="0" borderId="16" xfId="22" applyNumberFormat="1" applyFont="1" applyBorder="1" applyAlignment="1">
      <alignment horizontal="left" vertical="center"/>
      <protection/>
    </xf>
    <xf numFmtId="0" fontId="15" fillId="0" borderId="18" xfId="22" applyFont="1" applyBorder="1" applyAlignment="1">
      <alignment horizontal="left" vertical="center"/>
      <protection/>
    </xf>
    <xf numFmtId="49" fontId="16" fillId="0" borderId="16" xfId="22" applyNumberFormat="1" applyFont="1" applyBorder="1" applyAlignment="1">
      <alignment horizontal="left" vertical="center"/>
      <protection/>
    </xf>
    <xf numFmtId="0" fontId="16" fillId="0" borderId="18" xfId="22" applyFont="1" applyBorder="1" applyAlignment="1">
      <alignment horizontal="left" vertical="center"/>
      <protection/>
    </xf>
    <xf numFmtId="49" fontId="15" fillId="2" borderId="16" xfId="22" applyNumberFormat="1" applyFont="1" applyFill="1" applyBorder="1" applyAlignment="1">
      <alignment horizontal="left" vertical="center"/>
      <protection/>
    </xf>
    <xf numFmtId="0" fontId="15" fillId="2" borderId="52" xfId="22" applyFont="1" applyFill="1" applyBorder="1" applyAlignment="1">
      <alignment horizontal="left" vertical="center"/>
      <protection/>
    </xf>
    <xf numFmtId="49" fontId="15" fillId="0" borderId="16" xfId="22" applyNumberFormat="1" applyFont="1" applyBorder="1" applyAlignment="1">
      <alignment horizontal="left" vertical="center"/>
      <protection/>
    </xf>
    <xf numFmtId="0" fontId="15" fillId="0" borderId="18" xfId="22" applyFont="1" applyBorder="1" applyAlignment="1">
      <alignment horizontal="left" vertical="center"/>
      <protection/>
    </xf>
    <xf numFmtId="49" fontId="16" fillId="0" borderId="82" xfId="22" applyNumberFormat="1" applyFont="1" applyBorder="1" applyAlignment="1">
      <alignment horizontal="left" vertical="center"/>
      <protection/>
    </xf>
    <xf numFmtId="0" fontId="16" fillId="0" borderId="22" xfId="22" applyFont="1" applyBorder="1" applyAlignment="1">
      <alignment horizontal="left" vertical="center"/>
      <protection/>
    </xf>
    <xf numFmtId="0" fontId="16" fillId="0" borderId="83" xfId="22" applyFont="1" applyBorder="1" applyAlignment="1">
      <alignment horizontal="left" vertical="center"/>
      <protection/>
    </xf>
    <xf numFmtId="49" fontId="16" fillId="0" borderId="21" xfId="22" applyNumberFormat="1" applyFont="1" applyBorder="1" applyAlignment="1">
      <alignment horizontal="left" vertical="center"/>
      <protection/>
    </xf>
    <xf numFmtId="0" fontId="16" fillId="0" borderId="0" xfId="22" applyFont="1" applyAlignment="1">
      <alignment horizontal="left" vertical="center"/>
      <protection/>
    </xf>
    <xf numFmtId="0" fontId="16" fillId="0" borderId="45" xfId="22" applyFont="1" applyBorder="1" applyAlignment="1">
      <alignment horizontal="left" vertical="center"/>
      <protection/>
    </xf>
    <xf numFmtId="49" fontId="16" fillId="0" borderId="74" xfId="22" applyNumberFormat="1" applyFont="1" applyBorder="1" applyAlignment="1">
      <alignment horizontal="left" vertical="center"/>
      <protection/>
    </xf>
    <xf numFmtId="0" fontId="16" fillId="0" borderId="75" xfId="22" applyFont="1" applyBorder="1" applyAlignment="1">
      <alignment horizontal="left" vertical="center"/>
      <protection/>
    </xf>
    <xf numFmtId="0" fontId="16" fillId="0" borderId="84" xfId="22" applyFont="1" applyBorder="1" applyAlignment="1">
      <alignment horizontal="left" vertical="center"/>
      <protection/>
    </xf>
    <xf numFmtId="0" fontId="1" fillId="0" borderId="8" xfId="22" applyFont="1" applyBorder="1" applyAlignment="1">
      <alignment horizontal="left" vertical="center" wrapText="1"/>
      <protection/>
    </xf>
    <xf numFmtId="0" fontId="1" fillId="0" borderId="0" xfId="22" applyFont="1" applyAlignment="1">
      <alignment horizontal="left" vertical="center"/>
      <protection/>
    </xf>
    <xf numFmtId="0" fontId="1" fillId="0" borderId="8" xfId="22" applyFont="1" applyBorder="1" applyAlignment="1">
      <alignment horizontal="left" vertical="center"/>
      <protection/>
    </xf>
    <xf numFmtId="0" fontId="1" fillId="0" borderId="0" xfId="22" applyFont="1" applyAlignment="1">
      <alignment horizontal="left" vertical="center" wrapText="1"/>
      <protection/>
    </xf>
    <xf numFmtId="49" fontId="1" fillId="0" borderId="0" xfId="22" applyNumberFormat="1" applyFont="1" applyAlignment="1">
      <alignment horizontal="left" vertical="center"/>
      <protection/>
    </xf>
    <xf numFmtId="0" fontId="1" fillId="0" borderId="17" xfId="22" applyFont="1" applyBorder="1" applyAlignment="1">
      <alignment horizontal="left" vertical="center"/>
      <protection/>
    </xf>
    <xf numFmtId="49" fontId="21" fillId="0" borderId="7" xfId="22" applyNumberFormat="1" applyFont="1" applyBorder="1" applyAlignment="1">
      <alignment horizontal="center"/>
      <protection/>
    </xf>
    <xf numFmtId="0" fontId="21" fillId="0" borderId="7" xfId="22" applyFont="1" applyBorder="1" applyAlignment="1">
      <alignment horizontal="center" vertical="center"/>
      <protection/>
    </xf>
    <xf numFmtId="0" fontId="1" fillId="0" borderId="36" xfId="22" applyFont="1" applyBorder="1" applyAlignment="1">
      <alignment horizontal="left" vertical="center" wrapText="1"/>
      <protection/>
    </xf>
    <xf numFmtId="0" fontId="1" fillId="0" borderId="12" xfId="22" applyFont="1" applyBorder="1" applyAlignment="1">
      <alignment horizontal="left" vertical="center"/>
      <protection/>
    </xf>
    <xf numFmtId="0" fontId="20" fillId="0" borderId="12" xfId="22" applyFont="1" applyBorder="1" applyAlignment="1">
      <alignment horizontal="left" vertical="center" wrapText="1"/>
      <protection/>
    </xf>
    <xf numFmtId="0" fontId="20" fillId="0" borderId="0" xfId="22" applyFont="1" applyAlignment="1">
      <alignment horizontal="left" vertical="center"/>
      <protection/>
    </xf>
    <xf numFmtId="49" fontId="1" fillId="0" borderId="12" xfId="22" applyNumberFormat="1" applyFont="1" applyBorder="1" applyAlignment="1">
      <alignment horizontal="left" vertical="center"/>
      <protection/>
    </xf>
    <xf numFmtId="0" fontId="1" fillId="0" borderId="12" xfId="22" applyFont="1" applyBorder="1" applyAlignment="1">
      <alignment horizontal="left" vertical="center" wrapText="1"/>
      <protection/>
    </xf>
    <xf numFmtId="0" fontId="1" fillId="0" borderId="13" xfId="22" applyFont="1" applyBorder="1" applyAlignment="1">
      <alignment horizontal="left" vertical="center"/>
      <protection/>
    </xf>
    <xf numFmtId="0" fontId="1" fillId="0" borderId="85" xfId="22" applyFont="1" applyBorder="1" applyAlignment="1">
      <alignment horizontal="left" vertical="center"/>
      <protection/>
    </xf>
    <xf numFmtId="0" fontId="1" fillId="0" borderId="75" xfId="22" applyFont="1" applyBorder="1" applyAlignment="1">
      <alignment horizontal="left" vertical="center"/>
      <protection/>
    </xf>
    <xf numFmtId="0" fontId="1" fillId="0" borderId="86" xfId="22" applyFont="1" applyBorder="1" applyAlignment="1">
      <alignment horizontal="left" vertical="center"/>
      <protection/>
    </xf>
    <xf numFmtId="49" fontId="20" fillId="7" borderId="0" xfId="22" applyNumberFormat="1" applyFont="1" applyFill="1" applyAlignment="1">
      <alignment horizontal="left" vertical="center"/>
      <protection/>
    </xf>
    <xf numFmtId="0" fontId="20" fillId="7" borderId="0" xfId="22" applyFont="1" applyFill="1" applyAlignment="1">
      <alignment horizontal="left" vertical="center"/>
      <protection/>
    </xf>
    <xf numFmtId="49" fontId="1" fillId="5" borderId="33" xfId="22" applyNumberFormat="1" applyFont="1" applyFill="1" applyBorder="1" applyAlignment="1">
      <alignment horizontal="left" vertical="center"/>
      <protection/>
    </xf>
    <xf numFmtId="0" fontId="1" fillId="0" borderId="32" xfId="22" applyFont="1" applyBorder="1" applyAlignment="1">
      <alignment horizontal="left" vertical="center"/>
      <protection/>
    </xf>
    <xf numFmtId="49" fontId="20" fillId="0" borderId="87" xfId="22" applyNumberFormat="1" applyFont="1" applyBorder="1" applyAlignment="1">
      <alignment horizontal="left" vertical="center"/>
      <protection/>
    </xf>
    <xf numFmtId="0" fontId="20" fillId="0" borderId="22" xfId="22" applyFont="1" applyBorder="1" applyAlignment="1">
      <alignment horizontal="left" vertical="center"/>
      <protection/>
    </xf>
    <xf numFmtId="0" fontId="20" fillId="0" borderId="15" xfId="22" applyFont="1" applyBorder="1" applyAlignment="1">
      <alignment horizontal="left" vertical="center"/>
      <protection/>
    </xf>
    <xf numFmtId="49" fontId="20" fillId="0" borderId="79" xfId="22" applyNumberFormat="1" applyFont="1" applyBorder="1" applyAlignment="1">
      <alignment horizontal="center" vertical="center"/>
      <protection/>
    </xf>
    <xf numFmtId="0" fontId="20" fillId="0" borderId="88" xfId="22" applyFont="1" applyBorder="1" applyAlignment="1">
      <alignment horizontal="center" vertical="center"/>
      <protection/>
    </xf>
    <xf numFmtId="0" fontId="20" fillId="0" borderId="80" xfId="22" applyFont="1" applyBorder="1" applyAlignment="1">
      <alignment horizontal="center" vertical="center"/>
      <protection/>
    </xf>
    <xf numFmtId="49" fontId="20" fillId="0" borderId="85" xfId="22" applyNumberFormat="1" applyFont="1" applyBorder="1" applyAlignment="1">
      <alignment horizontal="left" vertical="center"/>
      <protection/>
    </xf>
    <xf numFmtId="0" fontId="20" fillId="0" borderId="75" xfId="22" applyFont="1" applyBorder="1" applyAlignment="1">
      <alignment horizontal="left" vertical="center"/>
      <protection/>
    </xf>
    <xf numFmtId="0" fontId="20" fillId="0" borderId="86" xfId="22" applyFont="1" applyBorder="1" applyAlignment="1">
      <alignment horizontal="left" vertical="center"/>
      <protection/>
    </xf>
    <xf numFmtId="49" fontId="20" fillId="3" borderId="22" xfId="22" applyNumberFormat="1" applyFont="1" applyFill="1" applyBorder="1" applyAlignment="1">
      <alignment horizontal="left" vertical="center"/>
      <protection/>
    </xf>
    <xf numFmtId="0" fontId="20" fillId="3" borderId="22" xfId="22" applyFont="1" applyFill="1" applyBorder="1" applyAlignment="1">
      <alignment horizontal="left" vertical="center"/>
      <protection/>
    </xf>
    <xf numFmtId="0" fontId="22" fillId="0" borderId="0" xfId="22" applyFont="1" applyAlignment="1">
      <alignment horizontal="left" vertical="top" wrapText="1"/>
      <protection/>
    </xf>
    <xf numFmtId="0" fontId="22" fillId="0" borderId="0" xfId="22" applyFont="1" applyAlignment="1">
      <alignment horizontal="left" vertical="top"/>
      <protection/>
    </xf>
    <xf numFmtId="49" fontId="20" fillId="3" borderId="0" xfId="22" applyNumberFormat="1" applyFont="1" applyFill="1" applyAlignment="1">
      <alignment horizontal="left" vertical="center"/>
      <protection/>
    </xf>
    <xf numFmtId="0" fontId="20" fillId="3" borderId="0" xfId="22" applyFont="1" applyFill="1" applyAlignment="1">
      <alignment horizontal="left" vertical="center"/>
      <protection/>
    </xf>
    <xf numFmtId="49" fontId="1" fillId="5" borderId="35" xfId="22" applyNumberFormat="1" applyFont="1" applyFill="1" applyBorder="1" applyAlignment="1">
      <alignment horizontal="left" vertical="center"/>
      <protection/>
    </xf>
    <xf numFmtId="0" fontId="1" fillId="0" borderId="34" xfId="22" applyFont="1" applyBorder="1" applyAlignment="1">
      <alignment horizontal="left" vertical="center"/>
      <protection/>
    </xf>
    <xf numFmtId="49" fontId="20" fillId="6" borderId="33" xfId="22" applyNumberFormat="1" applyFont="1" applyFill="1" applyBorder="1" applyAlignment="1">
      <alignment horizontal="left" vertical="center"/>
      <protection/>
    </xf>
    <xf numFmtId="0" fontId="20" fillId="19" borderId="0" xfId="22" applyFont="1" applyFill="1" applyAlignment="1">
      <alignment horizontal="left" vertical="center"/>
      <protection/>
    </xf>
    <xf numFmtId="0" fontId="20" fillId="19" borderId="32" xfId="22" applyFont="1" applyFill="1" applyBorder="1" applyAlignment="1">
      <alignment horizontal="left" vertical="center"/>
      <protection/>
    </xf>
    <xf numFmtId="49" fontId="20" fillId="8" borderId="0" xfId="22" applyNumberFormat="1" applyFont="1" applyFill="1" applyAlignment="1">
      <alignment horizontal="left" vertical="center"/>
      <protection/>
    </xf>
    <xf numFmtId="0" fontId="20" fillId="8" borderId="0" xfId="22" applyFont="1" applyFill="1" applyAlignment="1">
      <alignment horizontal="left" vertical="center"/>
      <protection/>
    </xf>
    <xf numFmtId="0" fontId="22" fillId="0" borderId="7" xfId="22" applyFont="1" applyBorder="1" applyAlignment="1">
      <alignment horizontal="left" vertical="top" wrapText="1"/>
      <protection/>
    </xf>
    <xf numFmtId="0" fontId="22" fillId="0" borderId="7" xfId="22" applyFont="1" applyBorder="1" applyAlignment="1">
      <alignment horizontal="left" vertical="top"/>
      <protection/>
    </xf>
    <xf numFmtId="49" fontId="20" fillId="0" borderId="12" xfId="22" applyNumberFormat="1" applyFont="1" applyBorder="1" applyAlignment="1">
      <alignment horizontal="left" vertical="center"/>
      <protection/>
    </xf>
    <xf numFmtId="0" fontId="20" fillId="0" borderId="12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left" vertical="center"/>
      <protection/>
    </xf>
    <xf numFmtId="49" fontId="9" fillId="0" borderId="17" xfId="22" applyNumberFormat="1" applyFont="1" applyBorder="1" applyAlignment="1" applyProtection="1">
      <alignment horizontal="left" vertical="center"/>
      <protection locked="0"/>
    </xf>
    <xf numFmtId="0" fontId="9" fillId="0" borderId="17" xfId="22" applyFont="1" applyBorder="1" applyAlignment="1" applyProtection="1">
      <alignment horizontal="left" vertical="center"/>
      <protection locked="0"/>
    </xf>
    <xf numFmtId="0" fontId="9" fillId="0" borderId="0" xfId="22" applyFont="1" applyAlignment="1" applyProtection="1">
      <alignment horizontal="left" vertical="center" wrapText="1"/>
      <protection locked="0"/>
    </xf>
    <xf numFmtId="0" fontId="9" fillId="0" borderId="0" xfId="22" applyFont="1" applyAlignment="1" applyProtection="1">
      <alignment horizontal="left" vertical="center"/>
      <protection locked="0"/>
    </xf>
    <xf numFmtId="49" fontId="16" fillId="0" borderId="16" xfId="21" applyNumberFormat="1" applyFont="1" applyBorder="1" applyAlignment="1">
      <alignment horizontal="left" vertical="center"/>
      <protection/>
    </xf>
    <xf numFmtId="0" fontId="16" fillId="0" borderId="18" xfId="21" applyFont="1" applyBorder="1" applyAlignment="1">
      <alignment horizontal="left" vertical="center"/>
      <protection/>
    </xf>
    <xf numFmtId="49" fontId="15" fillId="0" borderId="16" xfId="21" applyNumberFormat="1" applyFont="1" applyBorder="1" applyAlignment="1">
      <alignment horizontal="left" vertical="center"/>
      <protection/>
    </xf>
    <xf numFmtId="0" fontId="15" fillId="0" borderId="18" xfId="21" applyFont="1" applyBorder="1" applyAlignment="1">
      <alignment horizontal="left" vertical="center"/>
      <protection/>
    </xf>
    <xf numFmtId="49" fontId="16" fillId="0" borderId="36" xfId="21" applyNumberFormat="1" applyFont="1" applyBorder="1" applyAlignment="1">
      <alignment horizontal="left" vertical="center" wrapText="1"/>
      <protection/>
    </xf>
    <xf numFmtId="49" fontId="16" fillId="0" borderId="13" xfId="21" applyNumberFormat="1" applyFont="1" applyBorder="1" applyAlignment="1">
      <alignment horizontal="left" vertical="center" wrapText="1"/>
      <protection/>
    </xf>
    <xf numFmtId="49" fontId="16" fillId="0" borderId="8" xfId="21" applyNumberFormat="1" applyFont="1" applyBorder="1" applyAlignment="1">
      <alignment horizontal="left" vertical="center" wrapText="1"/>
      <protection/>
    </xf>
    <xf numFmtId="49" fontId="16" fillId="0" borderId="17" xfId="21" applyNumberFormat="1" applyFont="1" applyBorder="1" applyAlignment="1">
      <alignment horizontal="left" vertical="center" wrapText="1"/>
      <protection/>
    </xf>
    <xf numFmtId="49" fontId="16" fillId="0" borderId="19" xfId="21" applyNumberFormat="1" applyFont="1" applyBorder="1" applyAlignment="1">
      <alignment horizontal="left" vertical="center" wrapText="1"/>
      <protection/>
    </xf>
    <xf numFmtId="49" fontId="16" fillId="0" borderId="37" xfId="21" applyNumberFormat="1" applyFont="1" applyBorder="1" applyAlignment="1">
      <alignment horizontal="left" vertical="center" wrapText="1"/>
      <protection/>
    </xf>
    <xf numFmtId="4" fontId="16" fillId="0" borderId="10" xfId="21" applyNumberFormat="1" applyFont="1" applyBorder="1" applyAlignment="1" applyProtection="1">
      <alignment horizontal="right" vertical="center"/>
      <protection locked="0"/>
    </xf>
    <xf numFmtId="4" fontId="16" fillId="0" borderId="60" xfId="21" applyNumberFormat="1" applyFont="1" applyBorder="1" applyAlignment="1" applyProtection="1">
      <alignment horizontal="right" vertical="center"/>
      <protection locked="0"/>
    </xf>
    <xf numFmtId="4" fontId="16" fillId="0" borderId="11" xfId="21" applyNumberFormat="1" applyFont="1" applyBorder="1" applyAlignment="1" applyProtection="1">
      <alignment horizontal="right" vertical="center"/>
      <protection locked="0"/>
    </xf>
    <xf numFmtId="49" fontId="1" fillId="0" borderId="7" xfId="22" applyNumberFormat="1" applyFont="1" applyBorder="1" applyAlignment="1">
      <alignment horizontal="left" vertical="center"/>
      <protection/>
    </xf>
    <xf numFmtId="0" fontId="1" fillId="0" borderId="7" xfId="22" applyFont="1" applyBorder="1" applyAlignment="1">
      <alignment horizontal="left" vertical="center"/>
      <protection/>
    </xf>
    <xf numFmtId="0" fontId="87" fillId="0" borderId="0" xfId="27" applyFont="1" applyAlignment="1" applyProtection="1">
      <alignment horizontal="left" vertical="center"/>
      <protection locked="0"/>
    </xf>
    <xf numFmtId="0" fontId="94" fillId="0" borderId="9" xfId="27" applyFont="1" applyBorder="1" applyAlignment="1">
      <alignment horizontal="left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/>
      <protection/>
    </xf>
    <xf numFmtId="0" fontId="9" fillId="0" borderId="36" xfId="21" applyFont="1" applyBorder="1" applyAlignment="1">
      <alignment horizontal="left" vertical="center" wrapText="1"/>
      <protection/>
    </xf>
    <xf numFmtId="0" fontId="9" fillId="0" borderId="12" xfId="21" applyFont="1" applyBorder="1" applyAlignment="1">
      <alignment horizontal="left" vertical="center"/>
      <protection/>
    </xf>
    <xf numFmtId="0" fontId="9" fillId="0" borderId="8" xfId="21" applyFont="1" applyBorder="1" applyAlignment="1">
      <alignment horizontal="left" vertical="center"/>
      <protection/>
    </xf>
    <xf numFmtId="0" fontId="9" fillId="0" borderId="0" xfId="21" applyFont="1" applyAlignment="1">
      <alignment horizontal="left" vertical="center"/>
      <protection/>
    </xf>
    <xf numFmtId="0" fontId="11" fillId="0" borderId="12" xfId="21" applyFont="1" applyBorder="1" applyAlignment="1">
      <alignment horizontal="left" vertical="center" wrapText="1"/>
      <protection/>
    </xf>
    <xf numFmtId="0" fontId="11" fillId="0" borderId="12" xfId="21" applyFont="1" applyBorder="1" applyAlignment="1">
      <alignment horizontal="left" vertical="center"/>
      <protection/>
    </xf>
    <xf numFmtId="0" fontId="11" fillId="0" borderId="0" xfId="21" applyFont="1" applyAlignment="1">
      <alignment horizontal="left" vertical="center"/>
      <protection/>
    </xf>
    <xf numFmtId="0" fontId="9" fillId="0" borderId="12" xfId="21" applyFont="1" applyBorder="1" applyAlignment="1">
      <alignment horizontal="left" vertical="center" wrapText="1"/>
      <protection/>
    </xf>
    <xf numFmtId="49" fontId="9" fillId="0" borderId="13" xfId="21" applyNumberFormat="1" applyFont="1" applyBorder="1" applyAlignment="1">
      <alignment horizontal="left" vertical="center"/>
      <protection/>
    </xf>
    <xf numFmtId="0" fontId="9" fillId="0" borderId="17" xfId="21" applyFont="1" applyBorder="1" applyAlignment="1">
      <alignment horizontal="left" vertical="center"/>
      <protection/>
    </xf>
    <xf numFmtId="49" fontId="9" fillId="0" borderId="17" xfId="21" applyNumberFormat="1" applyFont="1" applyBorder="1" applyAlignment="1" applyProtection="1">
      <alignment horizontal="left" vertical="center"/>
      <protection locked="0"/>
    </xf>
    <xf numFmtId="0" fontId="9" fillId="0" borderId="17" xfId="21" applyFont="1" applyBorder="1" applyAlignment="1" applyProtection="1">
      <alignment horizontal="left" vertical="center"/>
      <protection locked="0"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0" xfId="21" applyFont="1" applyAlignment="1">
      <alignment horizontal="left" vertical="center" wrapText="1"/>
      <protection/>
    </xf>
    <xf numFmtId="49" fontId="9" fillId="0" borderId="17" xfId="21" applyNumberFormat="1" applyFont="1" applyBorder="1" applyAlignment="1">
      <alignment horizontal="left" vertical="center"/>
      <protection/>
    </xf>
    <xf numFmtId="0" fontId="9" fillId="0" borderId="0" xfId="21" applyFont="1" applyAlignment="1" applyProtection="1">
      <alignment horizontal="left" vertical="center" wrapText="1"/>
      <protection locked="0"/>
    </xf>
    <xf numFmtId="0" fontId="9" fillId="0" borderId="0" xfId="21" applyFont="1" applyAlignment="1" applyProtection="1">
      <alignment horizontal="left" vertical="center"/>
      <protection locked="0"/>
    </xf>
    <xf numFmtId="14" fontId="9" fillId="0" borderId="17" xfId="21" applyNumberFormat="1" applyFont="1" applyBorder="1" applyAlignment="1">
      <alignment horizontal="left" vertical="center" wrapText="1"/>
      <protection/>
    </xf>
    <xf numFmtId="0" fontId="9" fillId="0" borderId="37" xfId="21" applyFont="1" applyBorder="1" applyAlignment="1">
      <alignment horizontal="left" vertical="center"/>
      <protection/>
    </xf>
    <xf numFmtId="49" fontId="9" fillId="0" borderId="0" xfId="21" applyNumberFormat="1" applyFont="1" applyAlignment="1">
      <alignment horizontal="left" vertical="center"/>
      <protection/>
    </xf>
    <xf numFmtId="0" fontId="9" fillId="0" borderId="19" xfId="21" applyFont="1" applyBorder="1" applyAlignment="1">
      <alignment horizontal="left" vertical="center"/>
      <protection/>
    </xf>
    <xf numFmtId="0" fontId="9" fillId="0" borderId="7" xfId="21" applyFont="1" applyBorder="1" applyAlignment="1">
      <alignment horizontal="left" vertical="center"/>
      <protection/>
    </xf>
    <xf numFmtId="49" fontId="12" fillId="0" borderId="52" xfId="21" applyNumberFormat="1" applyFont="1" applyBorder="1" applyAlignment="1">
      <alignment horizontal="center" vertical="center"/>
      <protection/>
    </xf>
    <xf numFmtId="0" fontId="12" fillId="0" borderId="52" xfId="21" applyFont="1" applyBorder="1" applyAlignment="1">
      <alignment horizontal="center" vertical="center"/>
      <protection/>
    </xf>
    <xf numFmtId="49" fontId="14" fillId="0" borderId="36" xfId="21" applyNumberFormat="1" applyFont="1" applyBorder="1" applyAlignment="1">
      <alignment horizontal="left" vertical="center"/>
      <protection/>
    </xf>
    <xf numFmtId="0" fontId="14" fillId="0" borderId="13" xfId="21" applyFont="1" applyBorder="1" applyAlignment="1">
      <alignment horizontal="left" vertical="center"/>
      <protection/>
    </xf>
    <xf numFmtId="49" fontId="14" fillId="0" borderId="16" xfId="21" applyNumberFormat="1" applyFont="1" applyBorder="1" applyAlignment="1">
      <alignment horizontal="left" vertical="center"/>
      <protection/>
    </xf>
    <xf numFmtId="0" fontId="14" fillId="0" borderId="18" xfId="21" applyFont="1" applyBorder="1" applyAlignment="1">
      <alignment horizontal="left" vertical="center"/>
      <protection/>
    </xf>
    <xf numFmtId="49" fontId="16" fillId="0" borderId="12" xfId="21" applyNumberFormat="1" applyFont="1" applyBorder="1" applyAlignment="1">
      <alignment horizontal="left" vertical="center" wrapText="1"/>
      <protection/>
    </xf>
    <xf numFmtId="49" fontId="16" fillId="0" borderId="0" xfId="21" applyNumberFormat="1" applyFont="1" applyAlignment="1">
      <alignment horizontal="left" vertical="center" wrapText="1"/>
      <protection/>
    </xf>
    <xf numFmtId="49" fontId="16" fillId="0" borderId="7" xfId="21" applyNumberFormat="1" applyFont="1" applyBorder="1" applyAlignment="1">
      <alignment horizontal="left" vertical="center" wrapText="1"/>
      <protection/>
    </xf>
    <xf numFmtId="49" fontId="16" fillId="0" borderId="10" xfId="21" applyNumberFormat="1" applyFont="1" applyBorder="1" applyAlignment="1" applyProtection="1">
      <alignment horizontal="right" vertical="center"/>
      <protection locked="0"/>
    </xf>
    <xf numFmtId="49" fontId="16" fillId="0" borderId="60" xfId="21" applyNumberFormat="1" applyFont="1" applyBorder="1" applyAlignment="1" applyProtection="1">
      <alignment horizontal="right" vertical="center"/>
      <protection locked="0"/>
    </xf>
    <xf numFmtId="49" fontId="16" fillId="0" borderId="11" xfId="21" applyNumberFormat="1" applyFont="1" applyBorder="1" applyAlignment="1" applyProtection="1">
      <alignment horizontal="right" vertical="center"/>
      <protection locked="0"/>
    </xf>
    <xf numFmtId="49" fontId="15" fillId="0" borderId="8" xfId="21" applyNumberFormat="1" applyFont="1" applyBorder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49" fontId="15" fillId="0" borderId="19" xfId="21" applyNumberFormat="1" applyFont="1" applyBorder="1" applyAlignment="1">
      <alignment horizontal="left" vertical="center"/>
      <protection/>
    </xf>
    <xf numFmtId="0" fontId="15" fillId="0" borderId="7" xfId="21" applyFont="1" applyBorder="1" applyAlignment="1">
      <alignment horizontal="left" vertical="center"/>
      <protection/>
    </xf>
    <xf numFmtId="49" fontId="15" fillId="0" borderId="9" xfId="21" applyNumberFormat="1" applyFont="1" applyBorder="1" applyAlignment="1">
      <alignment horizontal="left" vertical="center"/>
      <protection/>
    </xf>
    <xf numFmtId="0" fontId="15" fillId="0" borderId="9" xfId="21" applyFont="1" applyBorder="1" applyAlignment="1">
      <alignment horizontal="left" vertical="center"/>
      <protection/>
    </xf>
    <xf numFmtId="49" fontId="15" fillId="0" borderId="0" xfId="21" applyNumberFormat="1" applyFont="1" applyAlignment="1">
      <alignment horizontal="left" vertical="center"/>
      <protection/>
    </xf>
    <xf numFmtId="49" fontId="15" fillId="2" borderId="16" xfId="21" applyNumberFormat="1" applyFont="1" applyFill="1" applyBorder="1" applyAlignment="1">
      <alignment horizontal="left" vertical="center"/>
      <protection/>
    </xf>
    <xf numFmtId="0" fontId="15" fillId="2" borderId="52" xfId="21" applyFont="1" applyFill="1" applyBorder="1" applyAlignment="1">
      <alignment horizontal="left" vertical="center"/>
      <protection/>
    </xf>
    <xf numFmtId="0" fontId="15" fillId="0" borderId="37" xfId="21" applyFont="1" applyBorder="1" applyAlignment="1">
      <alignment horizontal="left" vertical="center"/>
      <protection/>
    </xf>
    <xf numFmtId="49" fontId="16" fillId="0" borderId="82" xfId="21" applyNumberFormat="1" applyFont="1" applyBorder="1" applyAlignment="1">
      <alignment horizontal="left" vertical="center"/>
      <protection/>
    </xf>
    <xf numFmtId="0" fontId="16" fillId="0" borderId="22" xfId="21" applyFont="1" applyBorder="1" applyAlignment="1">
      <alignment horizontal="left" vertical="center"/>
      <protection/>
    </xf>
    <xf numFmtId="0" fontId="16" fillId="0" borderId="83" xfId="21" applyFont="1" applyBorder="1" applyAlignment="1">
      <alignment horizontal="left" vertical="center"/>
      <protection/>
    </xf>
    <xf numFmtId="49" fontId="16" fillId="0" borderId="21" xfId="21" applyNumberFormat="1" applyFont="1" applyBorder="1" applyAlignment="1">
      <alignment horizontal="left" vertical="center"/>
      <protection/>
    </xf>
    <xf numFmtId="0" fontId="16" fillId="0" borderId="0" xfId="21" applyFont="1" applyAlignment="1">
      <alignment horizontal="left" vertical="center"/>
      <protection/>
    </xf>
    <xf numFmtId="0" fontId="16" fillId="0" borderId="45" xfId="21" applyFont="1" applyBorder="1" applyAlignment="1">
      <alignment horizontal="left" vertical="center"/>
      <protection/>
    </xf>
    <xf numFmtId="49" fontId="16" fillId="0" borderId="74" xfId="21" applyNumberFormat="1" applyFont="1" applyBorder="1" applyAlignment="1">
      <alignment horizontal="left" vertical="center"/>
      <protection/>
    </xf>
    <xf numFmtId="0" fontId="16" fillId="0" borderId="75" xfId="21" applyFont="1" applyBorder="1" applyAlignment="1">
      <alignment horizontal="left" vertical="center"/>
      <protection/>
    </xf>
    <xf numFmtId="0" fontId="16" fillId="0" borderId="84" xfId="21" applyFont="1" applyBorder="1" applyAlignment="1">
      <alignment horizontal="left" vertical="center"/>
      <protection/>
    </xf>
    <xf numFmtId="0" fontId="0" fillId="0" borderId="0" xfId="0" applyAlignment="1">
      <alignment horizontal="left" vertical="top" wrapText="1"/>
    </xf>
    <xf numFmtId="2" fontId="16" fillId="0" borderId="10" xfId="21" applyNumberFormat="1" applyFont="1" applyBorder="1" applyAlignment="1" applyProtection="1">
      <alignment horizontal="right" vertical="center"/>
      <protection locked="0"/>
    </xf>
    <xf numFmtId="2" fontId="16" fillId="0" borderId="60" xfId="21" applyNumberFormat="1" applyFont="1" applyBorder="1" applyAlignment="1" applyProtection="1">
      <alignment horizontal="right" vertical="center"/>
      <protection locked="0"/>
    </xf>
    <xf numFmtId="2" fontId="16" fillId="0" borderId="11" xfId="21" applyNumberFormat="1" applyFont="1" applyBorder="1" applyAlignment="1" applyProtection="1">
      <alignment horizontal="right" vertical="center"/>
      <protection locked="0"/>
    </xf>
    <xf numFmtId="49" fontId="42" fillId="9" borderId="49" xfId="24" applyNumberFormat="1" applyFont="1" applyFill="1" applyBorder="1" applyAlignment="1">
      <alignment horizontal="left" vertical="center"/>
      <protection/>
    </xf>
    <xf numFmtId="49" fontId="42" fillId="9" borderId="81" xfId="24" applyNumberFormat="1" applyFont="1" applyFill="1" applyBorder="1" applyAlignment="1">
      <alignment horizontal="left" vertical="center"/>
      <protection/>
    </xf>
    <xf numFmtId="49" fontId="43" fillId="9" borderId="49" xfId="24" applyNumberFormat="1" applyFont="1" applyFill="1" applyBorder="1" applyAlignment="1">
      <alignment horizontal="left" vertical="center" wrapText="1"/>
      <protection/>
    </xf>
    <xf numFmtId="49" fontId="43" fillId="9" borderId="81" xfId="24" applyNumberFormat="1" applyFont="1" applyFill="1" applyBorder="1" applyAlignment="1">
      <alignment horizontal="left" vertical="center" wrapText="1"/>
      <protection/>
    </xf>
    <xf numFmtId="49" fontId="43" fillId="9" borderId="51" xfId="24" applyNumberFormat="1" applyFont="1" applyFill="1" applyBorder="1" applyAlignment="1">
      <alignment horizontal="left" vertical="center"/>
      <protection/>
    </xf>
    <xf numFmtId="49" fontId="43" fillId="9" borderId="49" xfId="24" applyNumberFormat="1" applyFont="1" applyFill="1" applyBorder="1" applyAlignment="1">
      <alignment horizontal="left" vertical="center"/>
      <protection/>
    </xf>
    <xf numFmtId="49" fontId="43" fillId="9" borderId="26" xfId="24" applyNumberFormat="1" applyFont="1" applyFill="1" applyBorder="1" applyAlignment="1">
      <alignment horizontal="center" vertical="center"/>
      <protection/>
    </xf>
    <xf numFmtId="49" fontId="43" fillId="9" borderId="89" xfId="24" applyNumberFormat="1" applyFont="1" applyFill="1" applyBorder="1" applyAlignment="1">
      <alignment horizontal="center" vertical="center"/>
      <protection/>
    </xf>
    <xf numFmtId="49" fontId="43" fillId="9" borderId="31" xfId="24" applyNumberFormat="1" applyFont="1" applyFill="1" applyBorder="1" applyAlignment="1">
      <alignment horizontal="center" vertical="center"/>
      <protection/>
    </xf>
    <xf numFmtId="49" fontId="43" fillId="9" borderId="51" xfId="24" applyNumberFormat="1" applyFont="1" applyFill="1" applyBorder="1" applyAlignment="1">
      <alignment horizontal="center" vertical="center"/>
      <protection/>
    </xf>
    <xf numFmtId="49" fontId="43" fillId="9" borderId="49" xfId="24" applyNumberFormat="1" applyFont="1" applyFill="1" applyBorder="1" applyAlignment="1">
      <alignment horizontal="center" vertical="center"/>
      <protection/>
    </xf>
    <xf numFmtId="49" fontId="4" fillId="9" borderId="90" xfId="24" applyNumberFormat="1" applyFont="1" applyFill="1" applyBorder="1" applyAlignment="1">
      <alignment horizontal="left" vertical="center"/>
      <protection/>
    </xf>
    <xf numFmtId="49" fontId="4" fillId="9" borderId="52" xfId="24" applyNumberFormat="1" applyFont="1" applyFill="1" applyBorder="1" applyAlignment="1">
      <alignment horizontal="left" vertical="center"/>
      <protection/>
    </xf>
    <xf numFmtId="49" fontId="42" fillId="9" borderId="51" xfId="24" applyNumberFormat="1" applyFont="1" applyFill="1" applyBorder="1" applyAlignment="1">
      <alignment horizontal="left" vertical="center"/>
      <protection/>
    </xf>
    <xf numFmtId="49" fontId="41" fillId="9" borderId="51" xfId="24" applyNumberFormat="1" applyFont="1" applyFill="1" applyBorder="1" applyAlignment="1">
      <alignment horizontal="left" vertical="center"/>
      <protection/>
    </xf>
    <xf numFmtId="49" fontId="41" fillId="9" borderId="49" xfId="24" applyNumberFormat="1" applyFont="1" applyFill="1" applyBorder="1" applyAlignment="1">
      <alignment horizontal="left" vertical="center"/>
      <protection/>
    </xf>
    <xf numFmtId="49" fontId="41" fillId="9" borderId="81" xfId="24" applyNumberFormat="1" applyFont="1" applyFill="1" applyBorder="1" applyAlignment="1">
      <alignment horizontal="left" vertical="center"/>
      <protection/>
    </xf>
    <xf numFmtId="49" fontId="44" fillId="9" borderId="21" xfId="24" applyNumberFormat="1" applyFont="1" applyFill="1" applyBorder="1" applyAlignment="1">
      <alignment horizontal="left" vertical="center"/>
      <protection/>
    </xf>
    <xf numFmtId="49" fontId="44" fillId="9" borderId="0" xfId="24" applyNumberFormat="1" applyFont="1" applyFill="1" applyAlignment="1">
      <alignment horizontal="left" vertical="center"/>
      <protection/>
    </xf>
    <xf numFmtId="49" fontId="44" fillId="9" borderId="48" xfId="24" applyNumberFormat="1" applyFont="1" applyFill="1" applyBorder="1" applyAlignment="1">
      <alignment horizontal="left" vertical="center"/>
      <protection/>
    </xf>
    <xf numFmtId="49" fontId="44" fillId="9" borderId="7" xfId="24" applyNumberFormat="1" applyFont="1" applyFill="1" applyBorder="1" applyAlignment="1">
      <alignment horizontal="left" vertical="center"/>
      <protection/>
    </xf>
    <xf numFmtId="0" fontId="20" fillId="0" borderId="75" xfId="24" applyFont="1" applyBorder="1" applyAlignment="1">
      <alignment horizontal="center" vertical="top"/>
      <protection/>
    </xf>
    <xf numFmtId="0" fontId="50" fillId="0" borderId="75" xfId="24" applyFont="1" applyBorder="1" applyAlignment="1">
      <alignment horizontal="center"/>
      <protection/>
    </xf>
    <xf numFmtId="0" fontId="58" fillId="10" borderId="51" xfId="24" applyFont="1" applyFill="1" applyBorder="1" applyAlignment="1">
      <alignment horizontal="center" vertical="center" wrapText="1"/>
      <protection/>
    </xf>
    <xf numFmtId="0" fontId="58" fillId="10" borderId="49" xfId="24" applyFont="1" applyFill="1" applyBorder="1" applyAlignment="1">
      <alignment horizontal="center" vertical="center" wrapText="1"/>
      <protection/>
    </xf>
    <xf numFmtId="49" fontId="15" fillId="2" borderId="19" xfId="21" applyNumberFormat="1" applyFont="1" applyFill="1" applyBorder="1" applyAlignment="1">
      <alignment horizontal="left" vertical="center"/>
      <protection/>
    </xf>
    <xf numFmtId="0" fontId="15" fillId="2" borderId="7" xfId="21" applyFont="1" applyFill="1" applyBorder="1" applyAlignment="1">
      <alignment horizontal="left" vertical="center"/>
      <protection/>
    </xf>
    <xf numFmtId="49" fontId="16" fillId="0" borderId="52" xfId="21" applyNumberFormat="1" applyFont="1" applyBorder="1" applyAlignment="1">
      <alignment horizontal="left" vertical="center" wrapText="1"/>
      <protection/>
    </xf>
    <xf numFmtId="0" fontId="16" fillId="0" borderId="18" xfId="21" applyFont="1" applyBorder="1" applyAlignment="1">
      <alignment horizontal="left" vertical="center" wrapText="1"/>
      <protection/>
    </xf>
    <xf numFmtId="49" fontId="15" fillId="0" borderId="36" xfId="21" applyNumberFormat="1" applyFont="1" applyBorder="1" applyAlignment="1">
      <alignment horizontal="left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5" fillId="0" borderId="12" xfId="21" applyFont="1" applyBorder="1" applyAlignment="1">
      <alignment horizontal="left" vertical="center"/>
      <protection/>
    </xf>
    <xf numFmtId="49" fontId="15" fillId="0" borderId="12" xfId="21" applyNumberFormat="1" applyFont="1" applyBorder="1" applyAlignment="1">
      <alignment horizontal="left" vertical="center"/>
      <protection/>
    </xf>
    <xf numFmtId="0" fontId="60" fillId="0" borderId="0" xfId="26" applyFont="1" applyAlignment="1">
      <alignment horizontal="center"/>
      <protection/>
    </xf>
    <xf numFmtId="0" fontId="27" fillId="0" borderId="91" xfId="26" applyFont="1" applyBorder="1" applyAlignment="1">
      <alignment horizontal="center"/>
      <protection/>
    </xf>
    <xf numFmtId="0" fontId="27" fillId="0" borderId="54" xfId="26" applyFont="1" applyBorder="1" applyAlignment="1">
      <alignment horizontal="center"/>
      <protection/>
    </xf>
    <xf numFmtId="49" fontId="27" fillId="0" borderId="92" xfId="26" applyNumberFormat="1" applyFont="1" applyBorder="1" applyAlignment="1">
      <alignment horizontal="center"/>
      <protection/>
    </xf>
    <xf numFmtId="0" fontId="27" fillId="0" borderId="43" xfId="26" applyFont="1" applyBorder="1" applyAlignment="1">
      <alignment horizontal="center"/>
      <protection/>
    </xf>
    <xf numFmtId="0" fontId="27" fillId="0" borderId="43" xfId="26" applyFont="1" applyBorder="1" applyAlignment="1">
      <alignment horizontal="center" shrinkToFit="1"/>
      <protection/>
    </xf>
    <xf numFmtId="0" fontId="27" fillId="0" borderId="93" xfId="26" applyFont="1" applyBorder="1" applyAlignment="1">
      <alignment horizontal="center" shrinkToFit="1"/>
      <protection/>
    </xf>
    <xf numFmtId="0" fontId="27" fillId="9" borderId="10" xfId="26" applyFont="1" applyFill="1" applyBorder="1" applyAlignment="1">
      <alignment horizontal="center" vertical="top"/>
      <protection/>
    </xf>
    <xf numFmtId="0" fontId="27" fillId="5" borderId="60" xfId="26" applyFont="1" applyFill="1" applyBorder="1" applyAlignment="1">
      <alignment horizontal="center" vertical="top"/>
      <protection/>
    </xf>
    <xf numFmtId="0" fontId="27" fillId="5" borderId="11" xfId="26" applyFont="1" applyFill="1" applyBorder="1" applyAlignment="1">
      <alignment horizontal="center" vertical="top"/>
      <protection/>
    </xf>
    <xf numFmtId="4" fontId="65" fillId="0" borderId="60" xfId="26" applyNumberFormat="1" applyFont="1" applyBorder="1" applyAlignment="1">
      <alignment horizontal="right" vertical="top"/>
      <protection/>
    </xf>
    <xf numFmtId="49" fontId="66" fillId="12" borderId="66" xfId="26" applyNumberFormat="1" applyFont="1" applyFill="1" applyBorder="1" applyAlignment="1">
      <alignment horizontal="left" wrapText="1"/>
      <protection/>
    </xf>
    <xf numFmtId="49" fontId="66" fillId="12" borderId="67" xfId="26" applyNumberFormat="1" applyFont="1" applyFill="1" applyBorder="1" applyAlignment="1">
      <alignment horizontal="left" wrapText="1"/>
      <protection/>
    </xf>
    <xf numFmtId="49" fontId="27" fillId="9" borderId="10" xfId="26" applyNumberFormat="1" applyFont="1" applyFill="1" applyBorder="1" applyAlignment="1">
      <alignment horizontal="center" vertical="top"/>
      <protection/>
    </xf>
    <xf numFmtId="49" fontId="27" fillId="9" borderId="60" xfId="26" applyNumberFormat="1" applyFont="1" applyFill="1" applyBorder="1" applyAlignment="1">
      <alignment horizontal="center" vertical="top"/>
      <protection/>
    </xf>
    <xf numFmtId="4" fontId="65" fillId="0" borderId="10" xfId="26" applyNumberFormat="1" applyFont="1" applyBorder="1" applyAlignment="1">
      <alignment horizontal="right" vertical="top"/>
      <protection/>
    </xf>
    <xf numFmtId="0" fontId="27" fillId="9" borderId="60" xfId="26" applyFont="1" applyFill="1" applyBorder="1" applyAlignment="1">
      <alignment horizontal="center" vertical="top"/>
      <protection/>
    </xf>
    <xf numFmtId="0" fontId="27" fillId="9" borderId="11" xfId="26" applyFont="1" applyFill="1" applyBorder="1" applyAlignment="1">
      <alignment horizontal="center" vertical="top"/>
      <protection/>
    </xf>
    <xf numFmtId="4" fontId="65" fillId="9" borderId="10" xfId="26" applyNumberFormat="1" applyFont="1" applyFill="1" applyBorder="1" applyAlignment="1" applyProtection="1">
      <alignment horizontal="right" vertical="top"/>
      <protection locked="0"/>
    </xf>
    <xf numFmtId="4" fontId="65" fillId="9" borderId="60" xfId="26" applyNumberFormat="1" applyFont="1" applyFill="1" applyBorder="1" applyAlignment="1" applyProtection="1">
      <alignment horizontal="right" vertical="top"/>
      <protection locked="0"/>
    </xf>
    <xf numFmtId="4" fontId="64" fillId="9" borderId="10" xfId="26" applyNumberFormat="1" applyFont="1" applyFill="1" applyBorder="1" applyAlignment="1" applyProtection="1">
      <alignment horizontal="right" vertical="top"/>
      <protection locked="0"/>
    </xf>
    <xf numFmtId="4" fontId="64" fillId="9" borderId="60" xfId="26" applyNumberFormat="1" applyFont="1" applyFill="1" applyBorder="1" applyAlignment="1" applyProtection="1">
      <alignment horizontal="right" vertical="top"/>
      <protection locked="0"/>
    </xf>
    <xf numFmtId="49" fontId="68" fillId="13" borderId="64" xfId="26" applyNumberFormat="1" applyFont="1" applyFill="1" applyBorder="1" applyAlignment="1">
      <alignment horizontal="left" wrapText="1"/>
      <protection/>
    </xf>
    <xf numFmtId="49" fontId="69" fillId="9" borderId="65" xfId="27" applyNumberFormat="1" applyFont="1" applyFill="1" applyBorder="1" applyAlignment="1">
      <alignment horizontal="left" wrapText="1"/>
      <protection/>
    </xf>
    <xf numFmtId="49" fontId="66" fillId="12" borderId="64" xfId="26" applyNumberFormat="1" applyFont="1" applyFill="1" applyBorder="1" applyAlignment="1">
      <alignment horizontal="left" wrapText="1"/>
      <protection/>
    </xf>
    <xf numFmtId="49" fontId="66" fillId="12" borderId="65" xfId="26" applyNumberFormat="1" applyFont="1" applyFill="1" applyBorder="1" applyAlignment="1">
      <alignment horizontal="left" wrapText="1"/>
      <protection/>
    </xf>
    <xf numFmtId="49" fontId="66" fillId="13" borderId="66" xfId="26" applyNumberFormat="1" applyFont="1" applyFill="1" applyBorder="1" applyAlignment="1">
      <alignment horizontal="left" wrapText="1"/>
      <protection/>
    </xf>
    <xf numFmtId="49" fontId="66" fillId="13" borderId="67" xfId="26" applyNumberFormat="1" applyFont="1" applyFill="1" applyBorder="1" applyAlignment="1">
      <alignment horizontal="left" wrapText="1"/>
      <protection/>
    </xf>
    <xf numFmtId="49" fontId="66" fillId="13" borderId="94" xfId="26" applyNumberFormat="1" applyFont="1" applyFill="1" applyBorder="1" applyAlignment="1">
      <alignment horizontal="left" wrapText="1"/>
      <protection/>
    </xf>
    <xf numFmtId="49" fontId="66" fillId="13" borderId="95" xfId="26" applyNumberFormat="1" applyFont="1" applyFill="1" applyBorder="1" applyAlignment="1">
      <alignment horizontal="left" wrapText="1"/>
      <protection/>
    </xf>
    <xf numFmtId="49" fontId="65" fillId="0" borderId="10" xfId="26" applyNumberFormat="1" applyFont="1" applyBorder="1" applyAlignment="1">
      <alignment horizontal="center" vertical="top"/>
      <protection/>
    </xf>
    <xf numFmtId="49" fontId="65" fillId="0" borderId="60" xfId="26" applyNumberFormat="1" applyFont="1" applyBorder="1" applyAlignment="1">
      <alignment horizontal="center" vertical="top"/>
      <protection/>
    </xf>
    <xf numFmtId="0" fontId="64" fillId="0" borderId="10" xfId="27" applyFont="1" applyBorder="1" applyAlignment="1">
      <alignment horizontal="left" vertical="top"/>
      <protection/>
    </xf>
    <xf numFmtId="0" fontId="64" fillId="0" borderId="60" xfId="27" applyFont="1" applyBorder="1" applyAlignment="1">
      <alignment horizontal="left" vertical="top"/>
      <protection/>
    </xf>
    <xf numFmtId="4" fontId="64" fillId="0" borderId="10" xfId="27" applyNumberFormat="1" applyFont="1" applyBorder="1" applyAlignment="1" applyProtection="1">
      <alignment horizontal="right" vertical="top" shrinkToFit="1"/>
      <protection locked="0"/>
    </xf>
    <xf numFmtId="4" fontId="64" fillId="0" borderId="60" xfId="27" applyNumberFormat="1" applyFont="1" applyBorder="1" applyAlignment="1" applyProtection="1">
      <alignment horizontal="right" vertical="top" shrinkToFit="1"/>
      <protection locked="0"/>
    </xf>
    <xf numFmtId="4" fontId="64" fillId="0" borderId="10" xfId="27" applyNumberFormat="1" applyFont="1" applyBorder="1" applyAlignment="1">
      <alignment horizontal="right" vertical="top" shrinkToFit="1"/>
      <protection/>
    </xf>
    <xf numFmtId="4" fontId="64" fillId="0" borderId="60" xfId="27" applyNumberFormat="1" applyFont="1" applyBorder="1" applyAlignment="1">
      <alignment horizontal="right" vertical="top" shrinkToFit="1"/>
      <protection/>
    </xf>
    <xf numFmtId="0" fontId="64" fillId="0" borderId="10" xfId="27" applyFont="1" applyBorder="1" applyAlignment="1">
      <alignment horizontal="center" vertical="top"/>
      <protection/>
    </xf>
    <xf numFmtId="0" fontId="64" fillId="0" borderId="60" xfId="27" applyFont="1" applyBorder="1" applyAlignment="1">
      <alignment horizontal="center" vertical="top"/>
      <protection/>
    </xf>
    <xf numFmtId="49" fontId="66" fillId="12" borderId="66" xfId="26" applyNumberFormat="1" applyFont="1" applyFill="1" applyBorder="1" applyAlignment="1">
      <alignment horizontal="left" vertical="top" wrapText="1"/>
      <protection/>
    </xf>
    <xf numFmtId="49" fontId="66" fillId="12" borderId="67" xfId="26" applyNumberFormat="1" applyFont="1" applyFill="1" applyBorder="1" applyAlignment="1">
      <alignment horizontal="left" vertical="top" wrapText="1"/>
      <protection/>
    </xf>
    <xf numFmtId="0" fontId="71" fillId="0" borderId="66" xfId="27" applyFont="1" applyBorder="1" applyAlignment="1" quotePrefix="1">
      <alignment horizontal="left" vertical="top" wrapText="1"/>
      <protection/>
    </xf>
    <xf numFmtId="0" fontId="71" fillId="0" borderId="67" xfId="27" applyFont="1" applyBorder="1" applyAlignment="1" quotePrefix="1">
      <alignment horizontal="left" vertical="top" wrapText="1"/>
      <protection/>
    </xf>
    <xf numFmtId="49" fontId="75" fillId="5" borderId="16" xfId="27" applyNumberFormat="1" applyFont="1" applyFill="1" applyBorder="1" applyAlignment="1">
      <alignment horizontal="left" vertical="top" wrapText="1"/>
      <protection/>
    </xf>
    <xf numFmtId="49" fontId="75" fillId="5" borderId="52" xfId="27" applyNumberFormat="1" applyFont="1" applyFill="1" applyBorder="1" applyAlignment="1">
      <alignment horizontal="left" vertical="top" wrapText="1"/>
      <protection/>
    </xf>
    <xf numFmtId="49" fontId="75" fillId="5" borderId="18" xfId="27" applyNumberFormat="1" applyFont="1" applyFill="1" applyBorder="1" applyAlignment="1">
      <alignment horizontal="left" vertical="top" wrapText="1"/>
      <protection/>
    </xf>
    <xf numFmtId="49" fontId="79" fillId="0" borderId="75" xfId="29" applyNumberFormat="1" applyFont="1" applyFill="1" applyBorder="1" applyAlignment="1">
      <alignment horizontal="center" vertical="center" wrapText="1"/>
    </xf>
    <xf numFmtId="173" fontId="84" fillId="15" borderId="96" xfId="30" applyNumberFormat="1" applyFont="1" applyFill="1" applyBorder="1" applyAlignment="1">
      <alignment horizontal="right" vertical="center"/>
    </xf>
    <xf numFmtId="49" fontId="14" fillId="0" borderId="18" xfId="21" applyNumberFormat="1" applyFont="1" applyBorder="1" applyAlignment="1">
      <alignment horizontal="left" vertical="center"/>
      <protection/>
    </xf>
    <xf numFmtId="0" fontId="86" fillId="10" borderId="12" xfId="24" applyFont="1" applyFill="1" applyBorder="1" applyAlignment="1">
      <alignment horizontal="left" vertical="top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49" fontId="21" fillId="0" borderId="7" xfId="21" applyNumberFormat="1" applyFont="1" applyBorder="1" applyAlignment="1">
      <alignment horizontal="center"/>
      <protection/>
    </xf>
    <xf numFmtId="0" fontId="21" fillId="0" borderId="7" xfId="21" applyFont="1" applyBorder="1" applyAlignment="1">
      <alignment horizontal="center" vertical="center"/>
      <protection/>
    </xf>
    <xf numFmtId="0" fontId="1" fillId="0" borderId="36" xfId="21" applyFont="1" applyBorder="1" applyAlignment="1">
      <alignment horizontal="left" vertical="center" wrapText="1"/>
      <protection/>
    </xf>
    <xf numFmtId="0" fontId="1" fillId="0" borderId="12" xfId="21" applyFont="1" applyBorder="1" applyAlignment="1">
      <alignment horizontal="left" vertical="center"/>
      <protection/>
    </xf>
    <xf numFmtId="0" fontId="1" fillId="0" borderId="8" xfId="21" applyFont="1" applyBorder="1" applyAlignment="1">
      <alignment horizontal="left" vertical="center"/>
      <protection/>
    </xf>
    <xf numFmtId="0" fontId="1" fillId="0" borderId="0" xfId="21" applyFont="1" applyAlignment="1">
      <alignment horizontal="left" vertical="center"/>
      <protection/>
    </xf>
    <xf numFmtId="0" fontId="20" fillId="0" borderId="12" xfId="21" applyFont="1" applyBorder="1" applyAlignment="1">
      <alignment horizontal="left" vertical="center" wrapText="1"/>
      <protection/>
    </xf>
    <xf numFmtId="0" fontId="20" fillId="0" borderId="0" xfId="21" applyFont="1" applyAlignment="1">
      <alignment horizontal="left" vertical="center"/>
      <protection/>
    </xf>
    <xf numFmtId="49" fontId="1" fillId="0" borderId="12" xfId="21" applyNumberFormat="1" applyFont="1" applyBorder="1" applyAlignment="1">
      <alignment horizontal="left" vertical="center"/>
      <protection/>
    </xf>
    <xf numFmtId="0" fontId="1" fillId="0" borderId="12" xfId="21" applyFont="1" applyBorder="1" applyAlignment="1">
      <alignment horizontal="left" vertical="center" wrapText="1"/>
      <protection/>
    </xf>
    <xf numFmtId="0" fontId="1" fillId="0" borderId="13" xfId="21" applyFont="1" applyBorder="1" applyAlignment="1">
      <alignment horizontal="left" vertical="center"/>
      <protection/>
    </xf>
    <xf numFmtId="0" fontId="1" fillId="0" borderId="17" xfId="21" applyFont="1" applyBorder="1" applyAlignment="1">
      <alignment horizontal="left" vertical="center"/>
      <protection/>
    </xf>
    <xf numFmtId="0" fontId="1" fillId="0" borderId="8" xfId="21" applyFont="1" applyBorder="1" applyAlignment="1">
      <alignment horizontal="left" vertical="center" wrapText="1"/>
      <protection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/>
      <protection/>
    </xf>
    <xf numFmtId="49" fontId="20" fillId="0" borderId="87" xfId="21" applyNumberFormat="1" applyFont="1" applyBorder="1" applyAlignment="1">
      <alignment horizontal="left" vertical="center"/>
      <protection/>
    </xf>
    <xf numFmtId="0" fontId="20" fillId="0" borderId="22" xfId="21" applyFont="1" applyBorder="1" applyAlignment="1">
      <alignment horizontal="left" vertical="center"/>
      <protection/>
    </xf>
    <xf numFmtId="0" fontId="20" fillId="0" borderId="15" xfId="21" applyFont="1" applyBorder="1" applyAlignment="1">
      <alignment horizontal="left" vertical="center"/>
      <protection/>
    </xf>
    <xf numFmtId="49" fontId="20" fillId="0" borderId="79" xfId="21" applyNumberFormat="1" applyFont="1" applyBorder="1" applyAlignment="1">
      <alignment horizontal="center" vertical="center"/>
      <protection/>
    </xf>
    <xf numFmtId="0" fontId="20" fillId="0" borderId="88" xfId="21" applyFont="1" applyBorder="1" applyAlignment="1">
      <alignment horizontal="center" vertical="center"/>
      <protection/>
    </xf>
    <xf numFmtId="0" fontId="20" fillId="0" borderId="80" xfId="21" applyFont="1" applyBorder="1" applyAlignment="1">
      <alignment horizontal="center" vertical="center"/>
      <protection/>
    </xf>
    <xf numFmtId="49" fontId="20" fillId="0" borderId="85" xfId="21" applyNumberFormat="1" applyFont="1" applyBorder="1" applyAlignment="1">
      <alignment horizontal="left" vertical="center"/>
      <protection/>
    </xf>
    <xf numFmtId="0" fontId="20" fillId="0" borderId="75" xfId="21" applyFont="1" applyBorder="1" applyAlignment="1">
      <alignment horizontal="left" vertical="center"/>
      <protection/>
    </xf>
    <xf numFmtId="0" fontId="20" fillId="0" borderId="86" xfId="21" applyFont="1" applyBorder="1" applyAlignment="1">
      <alignment horizontal="left" vertical="center"/>
      <protection/>
    </xf>
    <xf numFmtId="49" fontId="20" fillId="3" borderId="22" xfId="21" applyNumberFormat="1" applyFont="1" applyFill="1" applyBorder="1" applyAlignment="1">
      <alignment horizontal="left" vertical="center"/>
      <protection/>
    </xf>
    <xf numFmtId="0" fontId="20" fillId="3" borderId="22" xfId="21" applyFont="1" applyFill="1" applyBorder="1" applyAlignment="1">
      <alignment horizontal="left" vertical="center"/>
      <protection/>
    </xf>
    <xf numFmtId="49" fontId="20" fillId="7" borderId="0" xfId="21" applyNumberFormat="1" applyFont="1" applyFill="1" applyAlignment="1">
      <alignment horizontal="left" vertical="center"/>
      <protection/>
    </xf>
    <xf numFmtId="0" fontId="20" fillId="7" borderId="0" xfId="21" applyFont="1" applyFill="1" applyAlignment="1">
      <alignment horizontal="left" vertical="center"/>
      <protection/>
    </xf>
    <xf numFmtId="0" fontId="1" fillId="0" borderId="85" xfId="21" applyFont="1" applyBorder="1" applyAlignment="1">
      <alignment horizontal="left" vertical="center"/>
      <protection/>
    </xf>
    <xf numFmtId="0" fontId="1" fillId="0" borderId="75" xfId="21" applyFont="1" applyBorder="1" applyAlignment="1">
      <alignment horizontal="left" vertical="center"/>
      <protection/>
    </xf>
    <xf numFmtId="0" fontId="1" fillId="0" borderId="86" xfId="21" applyFont="1" applyBorder="1" applyAlignment="1">
      <alignment horizontal="left" vertical="center"/>
      <protection/>
    </xf>
    <xf numFmtId="49" fontId="20" fillId="3" borderId="0" xfId="21" applyNumberFormat="1" applyFont="1" applyFill="1" applyAlignment="1">
      <alignment horizontal="left" vertical="center"/>
      <protection/>
    </xf>
    <xf numFmtId="0" fontId="20" fillId="3" borderId="0" xfId="21" applyFont="1" applyFill="1" applyAlignment="1">
      <alignment horizontal="left" vertical="center"/>
      <protection/>
    </xf>
    <xf numFmtId="0" fontId="22" fillId="0" borderId="0" xfId="21" applyFont="1" applyAlignment="1">
      <alignment horizontal="left" vertical="top" wrapText="1"/>
      <protection/>
    </xf>
    <xf numFmtId="0" fontId="22" fillId="0" borderId="0" xfId="21" applyFont="1" applyAlignment="1">
      <alignment horizontal="left" vertical="top"/>
      <protection/>
    </xf>
    <xf numFmtId="49" fontId="1" fillId="5" borderId="33" xfId="21" applyNumberFormat="1" applyFont="1" applyFill="1" applyBorder="1" applyAlignment="1">
      <alignment horizontal="left" vertical="center"/>
      <protection/>
    </xf>
    <xf numFmtId="0" fontId="1" fillId="0" borderId="32" xfId="21" applyFont="1" applyBorder="1" applyAlignment="1">
      <alignment horizontal="left" vertical="center"/>
      <protection/>
    </xf>
    <xf numFmtId="0" fontId="22" fillId="0" borderId="7" xfId="21" applyFont="1" applyBorder="1" applyAlignment="1">
      <alignment horizontal="left" vertical="top" wrapText="1"/>
      <protection/>
    </xf>
    <xf numFmtId="0" fontId="22" fillId="0" borderId="7" xfId="21" applyFont="1" applyBorder="1" applyAlignment="1">
      <alignment horizontal="left" vertical="top"/>
      <protection/>
    </xf>
    <xf numFmtId="49" fontId="20" fillId="0" borderId="12" xfId="21" applyNumberFormat="1" applyFont="1" applyBorder="1" applyAlignment="1">
      <alignment horizontal="left" vertical="center"/>
      <protection/>
    </xf>
    <xf numFmtId="0" fontId="20" fillId="0" borderId="12" xfId="21" applyFont="1" applyBorder="1" applyAlignment="1">
      <alignment horizontal="left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2" xfId="21"/>
    <cellStyle name="Normální 2" xfId="22"/>
    <cellStyle name="normální_specifikace mat.-kanal.přípojky A-H" xfId="23"/>
    <cellStyle name="Normální 3" xfId="24"/>
    <cellStyle name="Normální 2 3" xfId="25"/>
    <cellStyle name="normální_POL.XLS" xfId="26"/>
    <cellStyle name="Normální 4" xfId="27"/>
    <cellStyle name="normální_POL.XLS 1" xfId="28"/>
    <cellStyle name="Měna 2" xfId="29"/>
    <cellStyle name="Normální 5" xfId="30"/>
    <cellStyle name="Měna 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19050</xdr:rowOff>
    </xdr:from>
    <xdr:to>
      <xdr:col>7</xdr:col>
      <xdr:colOff>1095375</xdr:colOff>
      <xdr:row>4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6475" y="457200"/>
          <a:ext cx="2914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teli\Desktop\VYKAZY%20VYMER_revize\SO05_Vodni%20prvek_vykaz%20vy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AD700-43E2-4A30-B97B-5EC740D544DC}">
  <dimension ref="A1:B74"/>
  <sheetViews>
    <sheetView tabSelected="1" workbookViewId="0" topLeftCell="A1">
      <selection activeCell="F31" sqref="F31"/>
    </sheetView>
  </sheetViews>
  <sheetFormatPr defaultColWidth="9.140625" defaultRowHeight="15"/>
  <cols>
    <col min="1" max="1" width="47.140625" style="3" customWidth="1"/>
    <col min="2" max="2" width="47.140625" style="2" customWidth="1"/>
    <col min="3" max="16384" width="9.140625" style="3" customWidth="1"/>
  </cols>
  <sheetData>
    <row r="1" ht="15.6">
      <c r="A1" s="1" t="s">
        <v>6</v>
      </c>
    </row>
    <row r="2" spans="1:2" ht="15">
      <c r="A2" s="3" t="s">
        <v>13</v>
      </c>
      <c r="B2" s="2" t="s">
        <v>14</v>
      </c>
    </row>
    <row r="3" spans="1:2" ht="15">
      <c r="A3" s="3" t="s">
        <v>16</v>
      </c>
      <c r="B3" s="2" t="s">
        <v>17</v>
      </c>
    </row>
    <row r="4" spans="1:2" ht="30">
      <c r="A4" s="3" t="s">
        <v>15</v>
      </c>
      <c r="B4" s="8" t="s">
        <v>19</v>
      </c>
    </row>
    <row r="5" spans="1:2" ht="15.6" thickBot="1">
      <c r="A5" s="3" t="s">
        <v>18</v>
      </c>
      <c r="B5" s="9" t="s">
        <v>20</v>
      </c>
    </row>
    <row r="6" spans="1:2" ht="15.6">
      <c r="A6" s="630" t="s">
        <v>4</v>
      </c>
      <c r="B6" s="631"/>
    </row>
    <row r="7" spans="1:2" ht="15">
      <c r="A7" s="7" t="s">
        <v>21</v>
      </c>
      <c r="B7" s="11">
        <v>0</v>
      </c>
    </row>
    <row r="8" spans="1:2" ht="15.6" thickBot="1">
      <c r="A8" s="12" t="s">
        <v>22</v>
      </c>
      <c r="B8" s="14">
        <v>0</v>
      </c>
    </row>
    <row r="9" spans="1:2" ht="15.6">
      <c r="A9" s="13" t="s">
        <v>1</v>
      </c>
      <c r="B9" s="583">
        <f>SUM(B7:B8)</f>
        <v>0</v>
      </c>
    </row>
    <row r="10" spans="1:2" ht="15">
      <c r="A10" s="4" t="s">
        <v>8</v>
      </c>
      <c r="B10" s="10">
        <v>0</v>
      </c>
    </row>
    <row r="11" spans="1:2" ht="16.2" thickBot="1">
      <c r="A11" s="6" t="s">
        <v>7</v>
      </c>
      <c r="B11" s="584">
        <f>SUM(B9:B10)</f>
        <v>0</v>
      </c>
    </row>
    <row r="12" spans="1:2" ht="15.75" customHeight="1">
      <c r="A12" s="632"/>
      <c r="B12" s="633"/>
    </row>
    <row r="13" spans="1:2" ht="15.75" customHeight="1">
      <c r="A13" s="634" t="s">
        <v>5</v>
      </c>
      <c r="B13" s="635"/>
    </row>
    <row r="14" spans="1:2" ht="15">
      <c r="A14" s="7" t="s">
        <v>21</v>
      </c>
      <c r="B14" s="11">
        <v>0</v>
      </c>
    </row>
    <row r="15" spans="1:2" ht="15.6" thickBot="1">
      <c r="A15" s="12" t="s">
        <v>22</v>
      </c>
      <c r="B15" s="14">
        <v>0</v>
      </c>
    </row>
    <row r="16" spans="1:2" ht="15.6">
      <c r="A16" s="13" t="s">
        <v>1</v>
      </c>
      <c r="B16" s="583">
        <f>SUM(B14:B15)</f>
        <v>0</v>
      </c>
    </row>
    <row r="17" spans="1:2" ht="15">
      <c r="A17" s="4" t="s">
        <v>8</v>
      </c>
      <c r="B17" s="10">
        <v>0</v>
      </c>
    </row>
    <row r="18" spans="1:2" ht="16.2" thickBot="1">
      <c r="A18" s="6" t="s">
        <v>7</v>
      </c>
      <c r="B18" s="584">
        <f>SUM(B16:B17)</f>
        <v>0</v>
      </c>
    </row>
    <row r="19" spans="1:2" ht="15.75" customHeight="1">
      <c r="A19" s="632"/>
      <c r="B19" s="633"/>
    </row>
    <row r="20" spans="1:2" ht="15.75" customHeight="1">
      <c r="A20" s="634" t="s">
        <v>0</v>
      </c>
      <c r="B20" s="635"/>
    </row>
    <row r="21" spans="1:2" ht="15">
      <c r="A21" s="7" t="s">
        <v>21</v>
      </c>
      <c r="B21" s="11">
        <v>0</v>
      </c>
    </row>
    <row r="22" spans="1:2" ht="15.6" thickBot="1">
      <c r="A22" s="12" t="s">
        <v>22</v>
      </c>
      <c r="B22" s="14">
        <v>0</v>
      </c>
    </row>
    <row r="23" spans="1:2" ht="15.6">
      <c r="A23" s="13" t="s">
        <v>1</v>
      </c>
      <c r="B23" s="583">
        <f>SUM(B21:B22)</f>
        <v>0</v>
      </c>
    </row>
    <row r="24" spans="1:2" ht="15">
      <c r="A24" s="4" t="s">
        <v>8</v>
      </c>
      <c r="B24" s="11">
        <v>0</v>
      </c>
    </row>
    <row r="25" spans="1:2" ht="16.2" thickBot="1">
      <c r="A25" s="6" t="s">
        <v>7</v>
      </c>
      <c r="B25" s="585">
        <f>SUM(B23:B24)</f>
        <v>0</v>
      </c>
    </row>
    <row r="26" spans="1:2" ht="15.75" customHeight="1">
      <c r="A26" s="636"/>
      <c r="B26" s="637"/>
    </row>
    <row r="27" spans="1:2" ht="15.75" customHeight="1">
      <c r="A27" s="634" t="s">
        <v>2</v>
      </c>
      <c r="B27" s="635"/>
    </row>
    <row r="28" spans="1:2" ht="15">
      <c r="A28" s="7" t="s">
        <v>21</v>
      </c>
      <c r="B28" s="11">
        <v>0</v>
      </c>
    </row>
    <row r="29" spans="1:2" ht="15.6" thickBot="1">
      <c r="A29" s="12" t="s">
        <v>22</v>
      </c>
      <c r="B29" s="14">
        <v>0</v>
      </c>
    </row>
    <row r="30" spans="1:2" ht="15.6">
      <c r="A30" s="13" t="s">
        <v>1</v>
      </c>
      <c r="B30" s="583">
        <f>SUM(B28:B29)</f>
        <v>0</v>
      </c>
    </row>
    <row r="31" spans="1:2" ht="15">
      <c r="A31" s="4" t="s">
        <v>8</v>
      </c>
      <c r="B31" s="11">
        <v>0</v>
      </c>
    </row>
    <row r="32" spans="1:2" ht="16.2" thickBot="1">
      <c r="A32" s="6" t="s">
        <v>7</v>
      </c>
      <c r="B32" s="585">
        <f>SUM(B30:B31)</f>
        <v>0</v>
      </c>
    </row>
    <row r="33" spans="1:2" ht="15.75" customHeight="1">
      <c r="A33" s="636"/>
      <c r="B33" s="637"/>
    </row>
    <row r="34" spans="1:2" ht="15.75" customHeight="1">
      <c r="A34" s="634" t="s">
        <v>3</v>
      </c>
      <c r="B34" s="635"/>
    </row>
    <row r="35" spans="1:2" ht="15">
      <c r="A35" s="7" t="s">
        <v>21</v>
      </c>
      <c r="B35" s="11">
        <v>0</v>
      </c>
    </row>
    <row r="36" spans="1:2" ht="15.6" thickBot="1">
      <c r="A36" s="12" t="s">
        <v>22</v>
      </c>
      <c r="B36" s="14">
        <v>0</v>
      </c>
    </row>
    <row r="37" spans="1:2" ht="15.6">
      <c r="A37" s="13" t="s">
        <v>1</v>
      </c>
      <c r="B37" s="583">
        <f>SUM(B35:B36)</f>
        <v>0</v>
      </c>
    </row>
    <row r="38" spans="1:2" ht="15">
      <c r="A38" s="4" t="s">
        <v>8</v>
      </c>
      <c r="B38" s="10">
        <v>0</v>
      </c>
    </row>
    <row r="39" spans="1:2" ht="16.2" thickBot="1">
      <c r="A39" s="6" t="s">
        <v>7</v>
      </c>
      <c r="B39" s="584">
        <f>SUM(B37:B38)</f>
        <v>0</v>
      </c>
    </row>
    <row r="40" spans="1:2" ht="15">
      <c r="A40" s="632"/>
      <c r="B40" s="633"/>
    </row>
    <row r="41" spans="1:2" ht="15.75" customHeight="1">
      <c r="A41" s="634" t="s">
        <v>12</v>
      </c>
      <c r="B41" s="635"/>
    </row>
    <row r="42" spans="1:2" ht="15">
      <c r="A42" s="7" t="s">
        <v>21</v>
      </c>
      <c r="B42" s="11">
        <v>0</v>
      </c>
    </row>
    <row r="43" spans="1:2" ht="15.6" thickBot="1">
      <c r="A43" s="12" t="s">
        <v>22</v>
      </c>
      <c r="B43" s="14">
        <v>0</v>
      </c>
    </row>
    <row r="44" spans="1:2" ht="15.6">
      <c r="A44" s="13" t="s">
        <v>1</v>
      </c>
      <c r="B44" s="583">
        <f>SUM(B42:B43)</f>
        <v>0</v>
      </c>
    </row>
    <row r="45" spans="1:2" ht="15">
      <c r="A45" s="4" t="s">
        <v>8</v>
      </c>
      <c r="B45" s="10">
        <v>0</v>
      </c>
    </row>
    <row r="46" spans="1:2" ht="16.2" thickBot="1">
      <c r="A46" s="6" t="s">
        <v>7</v>
      </c>
      <c r="B46" s="584">
        <f>SUM(B44:B45)</f>
        <v>0</v>
      </c>
    </row>
    <row r="47" spans="1:2" ht="15">
      <c r="A47" s="628"/>
      <c r="B47" s="629"/>
    </row>
    <row r="48" spans="1:2" ht="15.75" customHeight="1">
      <c r="A48" s="634" t="s">
        <v>11</v>
      </c>
      <c r="B48" s="635"/>
    </row>
    <row r="49" spans="1:2" ht="15">
      <c r="A49" s="7" t="s">
        <v>21</v>
      </c>
      <c r="B49" s="11">
        <v>0</v>
      </c>
    </row>
    <row r="50" spans="1:2" ht="15.6" thickBot="1">
      <c r="A50" s="12" t="s">
        <v>22</v>
      </c>
      <c r="B50" s="14">
        <v>0</v>
      </c>
    </row>
    <row r="51" spans="1:2" ht="15.6">
      <c r="A51" s="13" t="s">
        <v>1</v>
      </c>
      <c r="B51" s="583">
        <f>SUM(B49:B50)</f>
        <v>0</v>
      </c>
    </row>
    <row r="52" spans="1:2" ht="15">
      <c r="A52" s="4" t="s">
        <v>8</v>
      </c>
      <c r="B52" s="10">
        <v>0</v>
      </c>
    </row>
    <row r="53" spans="1:2" ht="16.2" thickBot="1">
      <c r="A53" s="6" t="s">
        <v>7</v>
      </c>
      <c r="B53" s="584">
        <f>SUM(B51:B52)</f>
        <v>0</v>
      </c>
    </row>
    <row r="54" spans="1:2" ht="15">
      <c r="A54" s="628"/>
      <c r="B54" s="629"/>
    </row>
    <row r="55" spans="1:2" ht="15.75" customHeight="1">
      <c r="A55" s="634" t="s">
        <v>10</v>
      </c>
      <c r="B55" s="635"/>
    </row>
    <row r="56" spans="1:2" ht="15">
      <c r="A56" s="7" t="s">
        <v>21</v>
      </c>
      <c r="B56" s="11">
        <v>0</v>
      </c>
    </row>
    <row r="57" spans="1:2" ht="15.6" thickBot="1">
      <c r="A57" s="12" t="s">
        <v>22</v>
      </c>
      <c r="B57" s="14">
        <v>0</v>
      </c>
    </row>
    <row r="58" spans="1:2" ht="15.6">
      <c r="A58" s="13" t="s">
        <v>1</v>
      </c>
      <c r="B58" s="583">
        <f>SUM(B56:B57)</f>
        <v>0</v>
      </c>
    </row>
    <row r="59" spans="1:2" ht="15">
      <c r="A59" s="4" t="s">
        <v>8</v>
      </c>
      <c r="B59" s="10">
        <v>0</v>
      </c>
    </row>
    <row r="60" spans="1:2" ht="16.2" thickBot="1">
      <c r="A60" s="6" t="s">
        <v>7</v>
      </c>
      <c r="B60" s="584">
        <f>SUM(B58:B59)</f>
        <v>0</v>
      </c>
    </row>
    <row r="61" spans="1:2" ht="15.6" thickBot="1">
      <c r="A61" s="640"/>
      <c r="B61" s="641"/>
    </row>
    <row r="62" spans="1:2" ht="15.75" customHeight="1">
      <c r="A62" s="634" t="s">
        <v>23</v>
      </c>
      <c r="B62" s="635"/>
    </row>
    <row r="63" spans="1:2" ht="15">
      <c r="A63" s="7" t="s">
        <v>21</v>
      </c>
      <c r="B63" s="11">
        <v>0</v>
      </c>
    </row>
    <row r="64" spans="1:2" ht="15.6" thickBot="1">
      <c r="A64" s="12" t="s">
        <v>22</v>
      </c>
      <c r="B64" s="14">
        <v>0</v>
      </c>
    </row>
    <row r="65" spans="1:2" ht="15.6">
      <c r="A65" s="13" t="s">
        <v>1</v>
      </c>
      <c r="B65" s="583">
        <f>SUM(B63:B64)</f>
        <v>0</v>
      </c>
    </row>
    <row r="66" spans="1:2" ht="15">
      <c r="A66" s="4" t="s">
        <v>8</v>
      </c>
      <c r="B66" s="10">
        <v>0</v>
      </c>
    </row>
    <row r="67" spans="1:2" ht="16.2" thickBot="1">
      <c r="A67" s="6" t="s">
        <v>7</v>
      </c>
      <c r="B67" s="584">
        <f>SUM(B65:B66)</f>
        <v>0</v>
      </c>
    </row>
    <row r="68" spans="1:2" ht="15.6" thickBot="1">
      <c r="A68" s="640"/>
      <c r="B68" s="641"/>
    </row>
    <row r="69" spans="1:2" s="1" customFormat="1" ht="15.6">
      <c r="A69" s="638" t="s">
        <v>9</v>
      </c>
      <c r="B69" s="639"/>
    </row>
    <row r="70" spans="1:2" ht="15.6">
      <c r="A70" s="7" t="s">
        <v>21</v>
      </c>
      <c r="B70" s="586">
        <f>SUM(B7,B14,B21,B28,B35,B42,B49,B56,B63)</f>
        <v>0</v>
      </c>
    </row>
    <row r="71" spans="1:2" ht="16.2" thickBot="1">
      <c r="A71" s="12" t="s">
        <v>22</v>
      </c>
      <c r="B71" s="587">
        <f>SUM(B8,B15,B22,B29,B36,B43,B50,B57,B64)</f>
        <v>0</v>
      </c>
    </row>
    <row r="72" spans="1:2" s="1" customFormat="1" ht="15.6">
      <c r="A72" s="13" t="s">
        <v>1</v>
      </c>
      <c r="B72" s="583">
        <f>SUM(B9,B16,B23,B30,B37,B44,B51,B58,B65)</f>
        <v>0</v>
      </c>
    </row>
    <row r="73" spans="1:2" s="1" customFormat="1" ht="15.6">
      <c r="A73" s="5" t="s">
        <v>8</v>
      </c>
      <c r="B73" s="588">
        <f>B45+B38+B31+B24+B17+B10+B52+B59+B66</f>
        <v>0</v>
      </c>
    </row>
    <row r="74" spans="1:2" s="1" customFormat="1" ht="16.2" thickBot="1">
      <c r="A74" s="6" t="s">
        <v>7</v>
      </c>
      <c r="B74" s="584">
        <f>SUM(B72:B73)</f>
        <v>0</v>
      </c>
    </row>
  </sheetData>
  <sheetProtection algorithmName="SHA-512" hashValue="J19mzOfSV76CEPyVeHpPKeNlFgX3WgCfaduqaB9VTmZcpN79trxVJMbJWF+xgJvwqgdu2XsMKMlpuaQG36xasA==" saltValue="q21TwS8qLGJnEd68lXdK7g==" spinCount="100000" sheet="1" objects="1" scenarios="1"/>
  <mergeCells count="19">
    <mergeCell ref="A69:B69"/>
    <mergeCell ref="A48:B48"/>
    <mergeCell ref="A54:B54"/>
    <mergeCell ref="A55:B55"/>
    <mergeCell ref="A61:B61"/>
    <mergeCell ref="A62:B62"/>
    <mergeCell ref="A68:B68"/>
    <mergeCell ref="A47:B47"/>
    <mergeCell ref="A6:B6"/>
    <mergeCell ref="A12:B12"/>
    <mergeCell ref="A13:B13"/>
    <mergeCell ref="A19:B19"/>
    <mergeCell ref="A20:B20"/>
    <mergeCell ref="A26:B26"/>
    <mergeCell ref="A27:B27"/>
    <mergeCell ref="A33:B33"/>
    <mergeCell ref="A34:B34"/>
    <mergeCell ref="A40:B40"/>
    <mergeCell ref="A41:B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B205D-AC14-4390-B68D-C4B2EF84A1F3}">
  <sheetPr>
    <pageSetUpPr fitToPage="1"/>
  </sheetPr>
  <dimension ref="A1:J37"/>
  <sheetViews>
    <sheetView workbookViewId="0" topLeftCell="A1">
      <selection activeCell="J33" sqref="J33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05" customHeight="1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ht="15">
      <c r="A2" s="764" t="s">
        <v>13</v>
      </c>
      <c r="B2" s="765"/>
      <c r="C2" s="768" t="s">
        <v>14</v>
      </c>
      <c r="D2" s="769"/>
      <c r="E2" s="771" t="s">
        <v>15</v>
      </c>
      <c r="F2" s="771" t="s">
        <v>1371</v>
      </c>
      <c r="G2" s="765"/>
      <c r="H2" s="771" t="s">
        <v>25</v>
      </c>
      <c r="I2" s="772"/>
      <c r="J2" s="102"/>
    </row>
    <row r="3" spans="1:10" ht="12.75" customHeight="1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ht="15">
      <c r="A4" s="776" t="s">
        <v>26</v>
      </c>
      <c r="B4" s="767"/>
      <c r="C4" s="777" t="s">
        <v>2</v>
      </c>
      <c r="D4" s="767"/>
      <c r="E4" s="777" t="s">
        <v>27</v>
      </c>
      <c r="F4" s="777" t="s">
        <v>1372</v>
      </c>
      <c r="G4" s="767"/>
      <c r="H4" s="777" t="s">
        <v>25</v>
      </c>
      <c r="I4" s="778"/>
      <c r="J4" s="102"/>
    </row>
    <row r="5" spans="1:10" ht="12.75" customHeight="1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ht="15">
      <c r="A6" s="776" t="s">
        <v>16</v>
      </c>
      <c r="B6" s="767"/>
      <c r="C6" s="777" t="s">
        <v>17</v>
      </c>
      <c r="D6" s="767"/>
      <c r="E6" s="777" t="s">
        <v>29</v>
      </c>
      <c r="F6" s="779"/>
      <c r="G6" s="780"/>
      <c r="H6" s="777" t="s">
        <v>25</v>
      </c>
      <c r="I6" s="774"/>
      <c r="J6" s="102"/>
    </row>
    <row r="7" spans="1:10" ht="12.75" customHeight="1">
      <c r="A7" s="766"/>
      <c r="B7" s="767"/>
      <c r="C7" s="767"/>
      <c r="D7" s="767"/>
      <c r="E7" s="767"/>
      <c r="F7" s="780"/>
      <c r="G7" s="780"/>
      <c r="H7" s="767"/>
      <c r="I7" s="775"/>
      <c r="J7" s="102"/>
    </row>
    <row r="8" spans="1:10" ht="15">
      <c r="A8" s="776" t="s">
        <v>30</v>
      </c>
      <c r="B8" s="767"/>
      <c r="C8" s="779"/>
      <c r="D8" s="780"/>
      <c r="E8" s="777" t="s">
        <v>31</v>
      </c>
      <c r="F8" s="779"/>
      <c r="G8" s="780"/>
      <c r="H8" s="783" t="s">
        <v>32</v>
      </c>
      <c r="I8" s="778" t="s">
        <v>500</v>
      </c>
      <c r="J8" s="102"/>
    </row>
    <row r="9" spans="1:10" ht="15">
      <c r="A9" s="766"/>
      <c r="B9" s="767"/>
      <c r="C9" s="780"/>
      <c r="D9" s="780"/>
      <c r="E9" s="767"/>
      <c r="F9" s="780"/>
      <c r="G9" s="780"/>
      <c r="H9" s="767"/>
      <c r="I9" s="773"/>
      <c r="J9" s="102"/>
    </row>
    <row r="10" spans="1:10" ht="15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>
        <v>43726</v>
      </c>
      <c r="J10" s="102"/>
    </row>
    <row r="11" spans="1:10" ht="15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9" ht="18.75" customHeight="1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>
      <c r="A13" s="160" t="s">
        <v>37</v>
      </c>
      <c r="B13" s="788" t="s">
        <v>38</v>
      </c>
      <c r="C13" s="789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>
      <c r="A14" s="161"/>
      <c r="B14" s="162"/>
      <c r="C14" s="163"/>
      <c r="D14" s="792" t="s">
        <v>45</v>
      </c>
      <c r="E14" s="750"/>
      <c r="F14" s="755">
        <v>0</v>
      </c>
      <c r="G14" s="749" t="s">
        <v>1177</v>
      </c>
      <c r="H14" s="750"/>
      <c r="I14" s="755">
        <v>0</v>
      </c>
      <c r="J14" s="102"/>
    </row>
    <row r="15" spans="1:10" ht="16.8" customHeight="1">
      <c r="A15" s="164"/>
      <c r="B15" s="165"/>
      <c r="C15" s="166"/>
      <c r="D15" s="793"/>
      <c r="E15" s="752"/>
      <c r="F15" s="756"/>
      <c r="G15" s="751"/>
      <c r="H15" s="752"/>
      <c r="I15" s="756"/>
      <c r="J15" s="102"/>
    </row>
    <row r="16" spans="1:10" ht="16.2" customHeight="1">
      <c r="A16" s="164"/>
      <c r="B16" s="165"/>
      <c r="C16" s="166"/>
      <c r="D16" s="794"/>
      <c r="E16" s="754"/>
      <c r="F16" s="757"/>
      <c r="G16" s="751"/>
      <c r="H16" s="752"/>
      <c r="I16" s="756"/>
      <c r="J16" s="102"/>
    </row>
    <row r="17" spans="1:10" ht="12.6" customHeight="1">
      <c r="A17" s="164"/>
      <c r="B17" s="165"/>
      <c r="C17" s="166"/>
      <c r="D17" s="792" t="s">
        <v>49</v>
      </c>
      <c r="E17" s="750"/>
      <c r="F17" s="818">
        <v>0</v>
      </c>
      <c r="G17" s="751"/>
      <c r="H17" s="752"/>
      <c r="I17" s="756"/>
      <c r="J17" s="102"/>
    </row>
    <row r="18" spans="1:10" ht="12.75" customHeight="1">
      <c r="A18" s="164"/>
      <c r="B18" s="165"/>
      <c r="C18" s="166"/>
      <c r="D18" s="793"/>
      <c r="E18" s="752"/>
      <c r="F18" s="819"/>
      <c r="G18" s="751"/>
      <c r="H18" s="752"/>
      <c r="I18" s="756"/>
      <c r="J18" s="102"/>
    </row>
    <row r="19" spans="1:10" ht="12.75" customHeight="1">
      <c r="A19" s="164"/>
      <c r="B19" s="165"/>
      <c r="C19" s="166"/>
      <c r="D19" s="793"/>
      <c r="E19" s="752"/>
      <c r="F19" s="819"/>
      <c r="G19" s="751"/>
      <c r="H19" s="752"/>
      <c r="I19" s="756"/>
      <c r="J19" s="102"/>
    </row>
    <row r="20" spans="1:10" ht="12.75" customHeight="1">
      <c r="A20" s="798"/>
      <c r="B20" s="799"/>
      <c r="C20" s="166"/>
      <c r="D20" s="793"/>
      <c r="E20" s="752"/>
      <c r="F20" s="819"/>
      <c r="G20" s="751"/>
      <c r="H20" s="752"/>
      <c r="I20" s="756"/>
      <c r="J20" s="102"/>
    </row>
    <row r="21" spans="1:10" ht="30.6" customHeight="1">
      <c r="A21" s="800"/>
      <c r="B21" s="801"/>
      <c r="C21" s="167"/>
      <c r="D21" s="794"/>
      <c r="E21" s="754"/>
      <c r="F21" s="820"/>
      <c r="G21" s="753"/>
      <c r="H21" s="754"/>
      <c r="I21" s="757"/>
      <c r="J21" s="102"/>
    </row>
    <row r="22" spans="1:10" ht="16.95" customHeight="1">
      <c r="A22" s="800" t="s">
        <v>54</v>
      </c>
      <c r="B22" s="807"/>
      <c r="C22" s="168">
        <f>'SO 04_Rekapitulace'!H16</f>
        <v>0</v>
      </c>
      <c r="D22" s="802" t="s">
        <v>55</v>
      </c>
      <c r="E22" s="803"/>
      <c r="F22" s="106">
        <f>SUM(F14:F21)</f>
        <v>0</v>
      </c>
      <c r="G22" s="802" t="s">
        <v>56</v>
      </c>
      <c r="H22" s="803"/>
      <c r="I22" s="106">
        <f>I14</f>
        <v>0</v>
      </c>
      <c r="J22" s="102"/>
    </row>
    <row r="23" spans="1:9" ht="12.75" customHeight="1">
      <c r="A23" s="109"/>
      <c r="B23" s="109"/>
      <c r="C23" s="109"/>
      <c r="D23" s="804"/>
      <c r="E23" s="799"/>
      <c r="F23" s="169"/>
      <c r="G23" s="804"/>
      <c r="H23" s="799"/>
      <c r="I23" s="169"/>
    </row>
    <row r="24" spans="7:8" ht="12.75" customHeight="1">
      <c r="G24" s="804"/>
      <c r="H24" s="799"/>
    </row>
    <row r="25" spans="7:9" ht="12.75" customHeight="1">
      <c r="G25" s="804"/>
      <c r="H25" s="799"/>
      <c r="I25" s="169"/>
    </row>
    <row r="26" spans="1:3" ht="15">
      <c r="A26" s="100"/>
      <c r="B26" s="100"/>
      <c r="C26" s="100"/>
    </row>
    <row r="27" spans="1:9" ht="12.75" customHeight="1">
      <c r="A27" s="805" t="s">
        <v>57</v>
      </c>
      <c r="B27" s="806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805" t="s">
        <v>58</v>
      </c>
      <c r="B28" s="806"/>
      <c r="C28" s="115">
        <v>0</v>
      </c>
      <c r="D28" s="805" t="s">
        <v>59</v>
      </c>
      <c r="E28" s="806"/>
      <c r="F28" s="115">
        <v>0</v>
      </c>
      <c r="G28" s="805" t="s">
        <v>60</v>
      </c>
      <c r="H28" s="806"/>
      <c r="I28" s="115">
        <f>SUM(C27:C29)</f>
        <v>0</v>
      </c>
      <c r="J28" s="102"/>
    </row>
    <row r="29" spans="1:10" ht="12.75" customHeight="1">
      <c r="A29" s="805" t="s">
        <v>61</v>
      </c>
      <c r="B29" s="806"/>
      <c r="C29" s="115">
        <f>SUM(C22,F22,I22)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9" ht="13.8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9" ht="10.8" customHeight="1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algorithmName="SHA-512" hashValue="a+YvnPO4OHCNc+8LW49BrXubTS2HEsSAAXH6B9ALfHkt1j1Om2qb6xHCfK6R/M53cF6t+fPmUhhb3KUlhew5TQ==" saltValue="wRwT8snnX9A7v6k034SYWw==" spinCount="100000" sheet="1" objects="1" scenarios="1"/>
  <mergeCells count="7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B321-B77E-4F72-B952-58693CC8B28A}">
  <dimension ref="B2:J19"/>
  <sheetViews>
    <sheetView workbookViewId="0" topLeftCell="A1">
      <selection activeCell="P30" sqref="P30:P31"/>
    </sheetView>
  </sheetViews>
  <sheetFormatPr defaultColWidth="9.140625" defaultRowHeight="15"/>
  <cols>
    <col min="1" max="1" width="3.7109375" style="253" customWidth="1"/>
    <col min="2" max="2" width="16.28125" style="253" customWidth="1"/>
    <col min="3" max="6" width="9.140625" style="253" customWidth="1"/>
    <col min="7" max="7" width="23.7109375" style="253" customWidth="1"/>
    <col min="8" max="8" width="22.28125" style="254" bestFit="1" customWidth="1"/>
    <col min="9" max="9" width="2.7109375" style="253" customWidth="1"/>
    <col min="10" max="16384" width="9.140625" style="253" customWidth="1"/>
  </cols>
  <sheetData>
    <row r="1" ht="15" thickBot="1"/>
    <row r="2" spans="2:8" ht="18" thickBot="1">
      <c r="B2" s="255" t="s">
        <v>1373</v>
      </c>
      <c r="C2" s="821" t="s">
        <v>1374</v>
      </c>
      <c r="D2" s="821"/>
      <c r="E2" s="821"/>
      <c r="F2" s="821"/>
      <c r="G2" s="821"/>
      <c r="H2" s="822"/>
    </row>
    <row r="3" spans="2:8" ht="35.25" customHeight="1" thickBot="1">
      <c r="B3" s="255" t="s">
        <v>1375</v>
      </c>
      <c r="C3" s="823" t="s">
        <v>1376</v>
      </c>
      <c r="D3" s="823"/>
      <c r="E3" s="823"/>
      <c r="F3" s="823"/>
      <c r="G3" s="823"/>
      <c r="H3" s="824"/>
    </row>
    <row r="4" spans="2:8" ht="17.4" thickBot="1">
      <c r="B4" s="255" t="s">
        <v>1377</v>
      </c>
      <c r="C4" s="825" t="s">
        <v>20</v>
      </c>
      <c r="D4" s="826"/>
      <c r="E4" s="826"/>
      <c r="F4" s="826"/>
      <c r="G4" s="826"/>
      <c r="H4" s="827"/>
    </row>
    <row r="5" spans="2:8" ht="17.4" thickBot="1">
      <c r="B5" s="255" t="s">
        <v>1378</v>
      </c>
      <c r="C5" s="825" t="s">
        <v>2</v>
      </c>
      <c r="D5" s="826"/>
      <c r="E5" s="826"/>
      <c r="F5" s="826"/>
      <c r="G5" s="826"/>
      <c r="H5" s="828"/>
    </row>
    <row r="6" spans="2:8" ht="17.4" thickBot="1">
      <c r="B6" s="255" t="s">
        <v>1379</v>
      </c>
      <c r="C6" s="830" t="s">
        <v>1380</v>
      </c>
      <c r="D6" s="831"/>
      <c r="E6" s="831"/>
      <c r="F6" s="831"/>
      <c r="G6" s="831"/>
      <c r="H6" s="829"/>
    </row>
    <row r="7" spans="2:8" ht="15" thickBot="1">
      <c r="B7" s="835" t="s">
        <v>1381</v>
      </c>
      <c r="C7" s="836"/>
      <c r="D7" s="836"/>
      <c r="E7" s="836"/>
      <c r="F7" s="836"/>
      <c r="G7" s="836"/>
      <c r="H7" s="837"/>
    </row>
    <row r="8" spans="2:10" s="257" customFormat="1" ht="15">
      <c r="B8" s="838" t="s">
        <v>1382</v>
      </c>
      <c r="C8" s="839"/>
      <c r="D8" s="839"/>
      <c r="E8" s="839"/>
      <c r="F8" s="839"/>
      <c r="G8" s="839"/>
      <c r="H8" s="256">
        <f>SUM('SO 04_Výkaz výměr'!G168)</f>
        <v>0</v>
      </c>
      <c r="J8" s="258"/>
    </row>
    <row r="9" spans="2:8" s="257" customFormat="1" ht="15">
      <c r="B9" s="838" t="s">
        <v>1383</v>
      </c>
      <c r="C9" s="839"/>
      <c r="D9" s="839"/>
      <c r="E9" s="839"/>
      <c r="F9" s="839"/>
      <c r="G9" s="839"/>
      <c r="H9" s="259">
        <f>SUM('SO 04_Výkaz výměr'!G211)</f>
        <v>0</v>
      </c>
    </row>
    <row r="10" spans="2:8" s="257" customFormat="1" ht="15">
      <c r="B10" s="838"/>
      <c r="C10" s="839"/>
      <c r="D10" s="839"/>
      <c r="E10" s="839"/>
      <c r="F10" s="839"/>
      <c r="G10" s="839"/>
      <c r="H10" s="259"/>
    </row>
    <row r="11" spans="2:8" s="257" customFormat="1" ht="15">
      <c r="B11" s="838"/>
      <c r="C11" s="839"/>
      <c r="D11" s="839"/>
      <c r="E11" s="839"/>
      <c r="F11" s="839"/>
      <c r="G11" s="839"/>
      <c r="H11" s="259"/>
    </row>
    <row r="12" spans="2:8" s="257" customFormat="1" ht="15">
      <c r="B12" s="840"/>
      <c r="C12" s="841"/>
      <c r="D12" s="841"/>
      <c r="E12" s="841"/>
      <c r="F12" s="841"/>
      <c r="G12" s="841"/>
      <c r="H12" s="260"/>
    </row>
    <row r="13" spans="2:8" s="257" customFormat="1" ht="15">
      <c r="B13" s="832" t="s">
        <v>1384</v>
      </c>
      <c r="C13" s="833"/>
      <c r="D13" s="833"/>
      <c r="E13" s="833"/>
      <c r="F13" s="833"/>
      <c r="G13" s="833"/>
      <c r="H13" s="261">
        <f>SUM(H8:H12)</f>
        <v>0</v>
      </c>
    </row>
    <row r="14" spans="2:8" s="268" customFormat="1" ht="15">
      <c r="B14" s="262"/>
      <c r="C14" s="263"/>
      <c r="D14" s="264"/>
      <c r="E14" s="265"/>
      <c r="F14" s="266"/>
      <c r="G14" s="264"/>
      <c r="H14" s="267"/>
    </row>
    <row r="15" spans="2:8" s="268" customFormat="1" ht="15" thickBot="1">
      <c r="B15" s="269"/>
      <c r="C15" s="270"/>
      <c r="D15" s="271"/>
      <c r="E15" s="272"/>
      <c r="F15" s="273"/>
      <c r="G15" s="271"/>
      <c r="H15" s="274"/>
    </row>
    <row r="16" spans="2:8" s="276" customFormat="1" ht="18.6" thickBot="1">
      <c r="B16" s="834" t="s">
        <v>1385</v>
      </c>
      <c r="C16" s="821"/>
      <c r="D16" s="821"/>
      <c r="E16" s="821"/>
      <c r="F16" s="821"/>
      <c r="G16" s="822"/>
      <c r="H16" s="275">
        <f>H13</f>
        <v>0</v>
      </c>
    </row>
    <row r="19" ht="15">
      <c r="G19" s="277"/>
    </row>
  </sheetData>
  <sheetProtection algorithmName="SHA-512" hashValue="NmaWXJI81wdTLYQ9oLKz7CD2pPrfB/1GO+E1UcsF1eZhOfFgD5A9Unwz6dpvpncChqHX1AKHTLeSD8+oTj3eBA==" saltValue="sc0G4uBajE2AW7lOMZpybQ==" spinCount="100000" sheet="1" objects="1" scenarios="1"/>
  <mergeCells count="14">
    <mergeCell ref="B13:G13"/>
    <mergeCell ref="B16:G16"/>
    <mergeCell ref="B7:H7"/>
    <mergeCell ref="B8:G8"/>
    <mergeCell ref="B9:G9"/>
    <mergeCell ref="B10:G10"/>
    <mergeCell ref="B11:G11"/>
    <mergeCell ref="B12:G12"/>
    <mergeCell ref="C2:H2"/>
    <mergeCell ref="C3:H3"/>
    <mergeCell ref="C4:G4"/>
    <mergeCell ref="H4:H6"/>
    <mergeCell ref="C5:G5"/>
    <mergeCell ref="C6:G6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C95F-36D5-4ED6-9565-AFC88B97896B}">
  <sheetPr>
    <tabColor theme="4" tint="0.7999799847602844"/>
  </sheetPr>
  <dimension ref="A1:H213"/>
  <sheetViews>
    <sheetView workbookViewId="0" topLeftCell="A1">
      <pane ySplit="3" topLeftCell="A196" activePane="bottomLeft" state="frozen"/>
      <selection pane="topLeft" activeCell="N19" sqref="N19"/>
      <selection pane="bottomLeft" activeCell="E222" sqref="E221:E222"/>
    </sheetView>
  </sheetViews>
  <sheetFormatPr defaultColWidth="9.140625" defaultRowHeight="15"/>
  <cols>
    <col min="1" max="1" width="7.7109375" style="282" bestFit="1" customWidth="1"/>
    <col min="2" max="2" width="14.140625" style="343" customWidth="1"/>
    <col min="3" max="3" width="91.7109375" style="282" customWidth="1"/>
    <col min="4" max="4" width="11.140625" style="344" customWidth="1"/>
    <col min="5" max="5" width="7.421875" style="282" bestFit="1" customWidth="1"/>
    <col min="6" max="6" width="15.8515625" style="345" customWidth="1"/>
    <col min="7" max="7" width="20.57421875" style="345" bestFit="1" customWidth="1"/>
    <col min="8" max="8" width="8.00390625" style="282" customWidth="1"/>
    <col min="9" max="248" width="8.8515625" style="282" customWidth="1"/>
    <col min="249" max="249" width="7.7109375" style="282" bestFit="1" customWidth="1"/>
    <col min="250" max="250" width="14.140625" style="282" customWidth="1"/>
    <col min="251" max="251" width="85.7109375" style="282" customWidth="1"/>
    <col min="252" max="252" width="9.57421875" style="282" customWidth="1"/>
    <col min="253" max="253" width="6.00390625" style="282" bestFit="1" customWidth="1"/>
    <col min="254" max="254" width="15.8515625" style="282" customWidth="1"/>
    <col min="255" max="255" width="16.421875" style="282" bestFit="1" customWidth="1"/>
    <col min="256" max="504" width="8.8515625" style="282" customWidth="1"/>
    <col min="505" max="505" width="7.7109375" style="282" bestFit="1" customWidth="1"/>
    <col min="506" max="506" width="14.140625" style="282" customWidth="1"/>
    <col min="507" max="507" width="85.7109375" style="282" customWidth="1"/>
    <col min="508" max="508" width="9.57421875" style="282" customWidth="1"/>
    <col min="509" max="509" width="6.00390625" style="282" bestFit="1" customWidth="1"/>
    <col min="510" max="510" width="15.8515625" style="282" customWidth="1"/>
    <col min="511" max="511" width="16.421875" style="282" bestFit="1" customWidth="1"/>
    <col min="512" max="760" width="8.8515625" style="282" customWidth="1"/>
    <col min="761" max="761" width="7.7109375" style="282" bestFit="1" customWidth="1"/>
    <col min="762" max="762" width="14.140625" style="282" customWidth="1"/>
    <col min="763" max="763" width="85.7109375" style="282" customWidth="1"/>
    <col min="764" max="764" width="9.57421875" style="282" customWidth="1"/>
    <col min="765" max="765" width="6.00390625" style="282" bestFit="1" customWidth="1"/>
    <col min="766" max="766" width="15.8515625" style="282" customWidth="1"/>
    <col min="767" max="767" width="16.421875" style="282" bestFit="1" customWidth="1"/>
    <col min="768" max="1016" width="8.8515625" style="282" customWidth="1"/>
    <col min="1017" max="1017" width="7.7109375" style="282" bestFit="1" customWidth="1"/>
    <col min="1018" max="1018" width="14.140625" style="282" customWidth="1"/>
    <col min="1019" max="1019" width="85.7109375" style="282" customWidth="1"/>
    <col min="1020" max="1020" width="9.57421875" style="282" customWidth="1"/>
    <col min="1021" max="1021" width="6.00390625" style="282" bestFit="1" customWidth="1"/>
    <col min="1022" max="1022" width="15.8515625" style="282" customWidth="1"/>
    <col min="1023" max="1023" width="16.421875" style="282" bestFit="1" customWidth="1"/>
    <col min="1024" max="1272" width="8.8515625" style="282" customWidth="1"/>
    <col min="1273" max="1273" width="7.7109375" style="282" bestFit="1" customWidth="1"/>
    <col min="1274" max="1274" width="14.140625" style="282" customWidth="1"/>
    <col min="1275" max="1275" width="85.7109375" style="282" customWidth="1"/>
    <col min="1276" max="1276" width="9.57421875" style="282" customWidth="1"/>
    <col min="1277" max="1277" width="6.00390625" style="282" bestFit="1" customWidth="1"/>
    <col min="1278" max="1278" width="15.8515625" style="282" customWidth="1"/>
    <col min="1279" max="1279" width="16.421875" style="282" bestFit="1" customWidth="1"/>
    <col min="1280" max="1528" width="8.8515625" style="282" customWidth="1"/>
    <col min="1529" max="1529" width="7.7109375" style="282" bestFit="1" customWidth="1"/>
    <col min="1530" max="1530" width="14.140625" style="282" customWidth="1"/>
    <col min="1531" max="1531" width="85.7109375" style="282" customWidth="1"/>
    <col min="1532" max="1532" width="9.57421875" style="282" customWidth="1"/>
    <col min="1533" max="1533" width="6.00390625" style="282" bestFit="1" customWidth="1"/>
    <col min="1534" max="1534" width="15.8515625" style="282" customWidth="1"/>
    <col min="1535" max="1535" width="16.421875" style="282" bestFit="1" customWidth="1"/>
    <col min="1536" max="1784" width="8.8515625" style="282" customWidth="1"/>
    <col min="1785" max="1785" width="7.7109375" style="282" bestFit="1" customWidth="1"/>
    <col min="1786" max="1786" width="14.140625" style="282" customWidth="1"/>
    <col min="1787" max="1787" width="85.7109375" style="282" customWidth="1"/>
    <col min="1788" max="1788" width="9.57421875" style="282" customWidth="1"/>
    <col min="1789" max="1789" width="6.00390625" style="282" bestFit="1" customWidth="1"/>
    <col min="1790" max="1790" width="15.8515625" style="282" customWidth="1"/>
    <col min="1791" max="1791" width="16.421875" style="282" bestFit="1" customWidth="1"/>
    <col min="1792" max="2040" width="8.8515625" style="282" customWidth="1"/>
    <col min="2041" max="2041" width="7.7109375" style="282" bestFit="1" customWidth="1"/>
    <col min="2042" max="2042" width="14.140625" style="282" customWidth="1"/>
    <col min="2043" max="2043" width="85.7109375" style="282" customWidth="1"/>
    <col min="2044" max="2044" width="9.57421875" style="282" customWidth="1"/>
    <col min="2045" max="2045" width="6.00390625" style="282" bestFit="1" customWidth="1"/>
    <col min="2046" max="2046" width="15.8515625" style="282" customWidth="1"/>
    <col min="2047" max="2047" width="16.421875" style="282" bestFit="1" customWidth="1"/>
    <col min="2048" max="2296" width="8.8515625" style="282" customWidth="1"/>
    <col min="2297" max="2297" width="7.7109375" style="282" bestFit="1" customWidth="1"/>
    <col min="2298" max="2298" width="14.140625" style="282" customWidth="1"/>
    <col min="2299" max="2299" width="85.7109375" style="282" customWidth="1"/>
    <col min="2300" max="2300" width="9.57421875" style="282" customWidth="1"/>
    <col min="2301" max="2301" width="6.00390625" style="282" bestFit="1" customWidth="1"/>
    <col min="2302" max="2302" width="15.8515625" style="282" customWidth="1"/>
    <col min="2303" max="2303" width="16.421875" style="282" bestFit="1" customWidth="1"/>
    <col min="2304" max="2552" width="8.8515625" style="282" customWidth="1"/>
    <col min="2553" max="2553" width="7.7109375" style="282" bestFit="1" customWidth="1"/>
    <col min="2554" max="2554" width="14.140625" style="282" customWidth="1"/>
    <col min="2555" max="2555" width="85.7109375" style="282" customWidth="1"/>
    <col min="2556" max="2556" width="9.57421875" style="282" customWidth="1"/>
    <col min="2557" max="2557" width="6.00390625" style="282" bestFit="1" customWidth="1"/>
    <col min="2558" max="2558" width="15.8515625" style="282" customWidth="1"/>
    <col min="2559" max="2559" width="16.421875" style="282" bestFit="1" customWidth="1"/>
    <col min="2560" max="2808" width="8.8515625" style="282" customWidth="1"/>
    <col min="2809" max="2809" width="7.7109375" style="282" bestFit="1" customWidth="1"/>
    <col min="2810" max="2810" width="14.140625" style="282" customWidth="1"/>
    <col min="2811" max="2811" width="85.7109375" style="282" customWidth="1"/>
    <col min="2812" max="2812" width="9.57421875" style="282" customWidth="1"/>
    <col min="2813" max="2813" width="6.00390625" style="282" bestFit="1" customWidth="1"/>
    <col min="2814" max="2814" width="15.8515625" style="282" customWidth="1"/>
    <col min="2815" max="2815" width="16.421875" style="282" bestFit="1" customWidth="1"/>
    <col min="2816" max="3064" width="8.8515625" style="282" customWidth="1"/>
    <col min="3065" max="3065" width="7.7109375" style="282" bestFit="1" customWidth="1"/>
    <col min="3066" max="3066" width="14.140625" style="282" customWidth="1"/>
    <col min="3067" max="3067" width="85.7109375" style="282" customWidth="1"/>
    <col min="3068" max="3068" width="9.57421875" style="282" customWidth="1"/>
    <col min="3069" max="3069" width="6.00390625" style="282" bestFit="1" customWidth="1"/>
    <col min="3070" max="3070" width="15.8515625" style="282" customWidth="1"/>
    <col min="3071" max="3071" width="16.421875" style="282" bestFit="1" customWidth="1"/>
    <col min="3072" max="3320" width="8.8515625" style="282" customWidth="1"/>
    <col min="3321" max="3321" width="7.7109375" style="282" bestFit="1" customWidth="1"/>
    <col min="3322" max="3322" width="14.140625" style="282" customWidth="1"/>
    <col min="3323" max="3323" width="85.7109375" style="282" customWidth="1"/>
    <col min="3324" max="3324" width="9.57421875" style="282" customWidth="1"/>
    <col min="3325" max="3325" width="6.00390625" style="282" bestFit="1" customWidth="1"/>
    <col min="3326" max="3326" width="15.8515625" style="282" customWidth="1"/>
    <col min="3327" max="3327" width="16.421875" style="282" bestFit="1" customWidth="1"/>
    <col min="3328" max="3576" width="8.8515625" style="282" customWidth="1"/>
    <col min="3577" max="3577" width="7.7109375" style="282" bestFit="1" customWidth="1"/>
    <col min="3578" max="3578" width="14.140625" style="282" customWidth="1"/>
    <col min="3579" max="3579" width="85.7109375" style="282" customWidth="1"/>
    <col min="3580" max="3580" width="9.57421875" style="282" customWidth="1"/>
    <col min="3581" max="3581" width="6.00390625" style="282" bestFit="1" customWidth="1"/>
    <col min="3582" max="3582" width="15.8515625" style="282" customWidth="1"/>
    <col min="3583" max="3583" width="16.421875" style="282" bestFit="1" customWidth="1"/>
    <col min="3584" max="3832" width="8.8515625" style="282" customWidth="1"/>
    <col min="3833" max="3833" width="7.7109375" style="282" bestFit="1" customWidth="1"/>
    <col min="3834" max="3834" width="14.140625" style="282" customWidth="1"/>
    <col min="3835" max="3835" width="85.7109375" style="282" customWidth="1"/>
    <col min="3836" max="3836" width="9.57421875" style="282" customWidth="1"/>
    <col min="3837" max="3837" width="6.00390625" style="282" bestFit="1" customWidth="1"/>
    <col min="3838" max="3838" width="15.8515625" style="282" customWidth="1"/>
    <col min="3839" max="3839" width="16.421875" style="282" bestFit="1" customWidth="1"/>
    <col min="3840" max="4088" width="8.8515625" style="282" customWidth="1"/>
    <col min="4089" max="4089" width="7.7109375" style="282" bestFit="1" customWidth="1"/>
    <col min="4090" max="4090" width="14.140625" style="282" customWidth="1"/>
    <col min="4091" max="4091" width="85.7109375" style="282" customWidth="1"/>
    <col min="4092" max="4092" width="9.57421875" style="282" customWidth="1"/>
    <col min="4093" max="4093" width="6.00390625" style="282" bestFit="1" customWidth="1"/>
    <col min="4094" max="4094" width="15.8515625" style="282" customWidth="1"/>
    <col min="4095" max="4095" width="16.421875" style="282" bestFit="1" customWidth="1"/>
    <col min="4096" max="4344" width="8.8515625" style="282" customWidth="1"/>
    <col min="4345" max="4345" width="7.7109375" style="282" bestFit="1" customWidth="1"/>
    <col min="4346" max="4346" width="14.140625" style="282" customWidth="1"/>
    <col min="4347" max="4347" width="85.7109375" style="282" customWidth="1"/>
    <col min="4348" max="4348" width="9.57421875" style="282" customWidth="1"/>
    <col min="4349" max="4349" width="6.00390625" style="282" bestFit="1" customWidth="1"/>
    <col min="4350" max="4350" width="15.8515625" style="282" customWidth="1"/>
    <col min="4351" max="4351" width="16.421875" style="282" bestFit="1" customWidth="1"/>
    <col min="4352" max="4600" width="8.8515625" style="282" customWidth="1"/>
    <col min="4601" max="4601" width="7.7109375" style="282" bestFit="1" customWidth="1"/>
    <col min="4602" max="4602" width="14.140625" style="282" customWidth="1"/>
    <col min="4603" max="4603" width="85.7109375" style="282" customWidth="1"/>
    <col min="4604" max="4604" width="9.57421875" style="282" customWidth="1"/>
    <col min="4605" max="4605" width="6.00390625" style="282" bestFit="1" customWidth="1"/>
    <col min="4606" max="4606" width="15.8515625" style="282" customWidth="1"/>
    <col min="4607" max="4607" width="16.421875" style="282" bestFit="1" customWidth="1"/>
    <col min="4608" max="4856" width="8.8515625" style="282" customWidth="1"/>
    <col min="4857" max="4857" width="7.7109375" style="282" bestFit="1" customWidth="1"/>
    <col min="4858" max="4858" width="14.140625" style="282" customWidth="1"/>
    <col min="4859" max="4859" width="85.7109375" style="282" customWidth="1"/>
    <col min="4860" max="4860" width="9.57421875" style="282" customWidth="1"/>
    <col min="4861" max="4861" width="6.00390625" style="282" bestFit="1" customWidth="1"/>
    <col min="4862" max="4862" width="15.8515625" style="282" customWidth="1"/>
    <col min="4863" max="4863" width="16.421875" style="282" bestFit="1" customWidth="1"/>
    <col min="4864" max="5112" width="8.8515625" style="282" customWidth="1"/>
    <col min="5113" max="5113" width="7.7109375" style="282" bestFit="1" customWidth="1"/>
    <col min="5114" max="5114" width="14.140625" style="282" customWidth="1"/>
    <col min="5115" max="5115" width="85.7109375" style="282" customWidth="1"/>
    <col min="5116" max="5116" width="9.57421875" style="282" customWidth="1"/>
    <col min="5117" max="5117" width="6.00390625" style="282" bestFit="1" customWidth="1"/>
    <col min="5118" max="5118" width="15.8515625" style="282" customWidth="1"/>
    <col min="5119" max="5119" width="16.421875" style="282" bestFit="1" customWidth="1"/>
    <col min="5120" max="5368" width="8.8515625" style="282" customWidth="1"/>
    <col min="5369" max="5369" width="7.7109375" style="282" bestFit="1" customWidth="1"/>
    <col min="5370" max="5370" width="14.140625" style="282" customWidth="1"/>
    <col min="5371" max="5371" width="85.7109375" style="282" customWidth="1"/>
    <col min="5372" max="5372" width="9.57421875" style="282" customWidth="1"/>
    <col min="5373" max="5373" width="6.00390625" style="282" bestFit="1" customWidth="1"/>
    <col min="5374" max="5374" width="15.8515625" style="282" customWidth="1"/>
    <col min="5375" max="5375" width="16.421875" style="282" bestFit="1" customWidth="1"/>
    <col min="5376" max="5624" width="8.8515625" style="282" customWidth="1"/>
    <col min="5625" max="5625" width="7.7109375" style="282" bestFit="1" customWidth="1"/>
    <col min="5626" max="5626" width="14.140625" style="282" customWidth="1"/>
    <col min="5627" max="5627" width="85.7109375" style="282" customWidth="1"/>
    <col min="5628" max="5628" width="9.57421875" style="282" customWidth="1"/>
    <col min="5629" max="5629" width="6.00390625" style="282" bestFit="1" customWidth="1"/>
    <col min="5630" max="5630" width="15.8515625" style="282" customWidth="1"/>
    <col min="5631" max="5631" width="16.421875" style="282" bestFit="1" customWidth="1"/>
    <col min="5632" max="5880" width="8.8515625" style="282" customWidth="1"/>
    <col min="5881" max="5881" width="7.7109375" style="282" bestFit="1" customWidth="1"/>
    <col min="5882" max="5882" width="14.140625" style="282" customWidth="1"/>
    <col min="5883" max="5883" width="85.7109375" style="282" customWidth="1"/>
    <col min="5884" max="5884" width="9.57421875" style="282" customWidth="1"/>
    <col min="5885" max="5885" width="6.00390625" style="282" bestFit="1" customWidth="1"/>
    <col min="5886" max="5886" width="15.8515625" style="282" customWidth="1"/>
    <col min="5887" max="5887" width="16.421875" style="282" bestFit="1" customWidth="1"/>
    <col min="5888" max="6136" width="8.8515625" style="282" customWidth="1"/>
    <col min="6137" max="6137" width="7.7109375" style="282" bestFit="1" customWidth="1"/>
    <col min="6138" max="6138" width="14.140625" style="282" customWidth="1"/>
    <col min="6139" max="6139" width="85.7109375" style="282" customWidth="1"/>
    <col min="6140" max="6140" width="9.57421875" style="282" customWidth="1"/>
    <col min="6141" max="6141" width="6.00390625" style="282" bestFit="1" customWidth="1"/>
    <col min="6142" max="6142" width="15.8515625" style="282" customWidth="1"/>
    <col min="6143" max="6143" width="16.421875" style="282" bestFit="1" customWidth="1"/>
    <col min="6144" max="6392" width="8.8515625" style="282" customWidth="1"/>
    <col min="6393" max="6393" width="7.7109375" style="282" bestFit="1" customWidth="1"/>
    <col min="6394" max="6394" width="14.140625" style="282" customWidth="1"/>
    <col min="6395" max="6395" width="85.7109375" style="282" customWidth="1"/>
    <col min="6396" max="6396" width="9.57421875" style="282" customWidth="1"/>
    <col min="6397" max="6397" width="6.00390625" style="282" bestFit="1" customWidth="1"/>
    <col min="6398" max="6398" width="15.8515625" style="282" customWidth="1"/>
    <col min="6399" max="6399" width="16.421875" style="282" bestFit="1" customWidth="1"/>
    <col min="6400" max="6648" width="8.8515625" style="282" customWidth="1"/>
    <col min="6649" max="6649" width="7.7109375" style="282" bestFit="1" customWidth="1"/>
    <col min="6650" max="6650" width="14.140625" style="282" customWidth="1"/>
    <col min="6651" max="6651" width="85.7109375" style="282" customWidth="1"/>
    <col min="6652" max="6652" width="9.57421875" style="282" customWidth="1"/>
    <col min="6653" max="6653" width="6.00390625" style="282" bestFit="1" customWidth="1"/>
    <col min="6654" max="6654" width="15.8515625" style="282" customWidth="1"/>
    <col min="6655" max="6655" width="16.421875" style="282" bestFit="1" customWidth="1"/>
    <col min="6656" max="6904" width="8.8515625" style="282" customWidth="1"/>
    <col min="6905" max="6905" width="7.7109375" style="282" bestFit="1" customWidth="1"/>
    <col min="6906" max="6906" width="14.140625" style="282" customWidth="1"/>
    <col min="6907" max="6907" width="85.7109375" style="282" customWidth="1"/>
    <col min="6908" max="6908" width="9.57421875" style="282" customWidth="1"/>
    <col min="6909" max="6909" width="6.00390625" style="282" bestFit="1" customWidth="1"/>
    <col min="6910" max="6910" width="15.8515625" style="282" customWidth="1"/>
    <col min="6911" max="6911" width="16.421875" style="282" bestFit="1" customWidth="1"/>
    <col min="6912" max="7160" width="8.8515625" style="282" customWidth="1"/>
    <col min="7161" max="7161" width="7.7109375" style="282" bestFit="1" customWidth="1"/>
    <col min="7162" max="7162" width="14.140625" style="282" customWidth="1"/>
    <col min="7163" max="7163" width="85.7109375" style="282" customWidth="1"/>
    <col min="7164" max="7164" width="9.57421875" style="282" customWidth="1"/>
    <col min="7165" max="7165" width="6.00390625" style="282" bestFit="1" customWidth="1"/>
    <col min="7166" max="7166" width="15.8515625" style="282" customWidth="1"/>
    <col min="7167" max="7167" width="16.421875" style="282" bestFit="1" customWidth="1"/>
    <col min="7168" max="7416" width="8.8515625" style="282" customWidth="1"/>
    <col min="7417" max="7417" width="7.7109375" style="282" bestFit="1" customWidth="1"/>
    <col min="7418" max="7418" width="14.140625" style="282" customWidth="1"/>
    <col min="7419" max="7419" width="85.7109375" style="282" customWidth="1"/>
    <col min="7420" max="7420" width="9.57421875" style="282" customWidth="1"/>
    <col min="7421" max="7421" width="6.00390625" style="282" bestFit="1" customWidth="1"/>
    <col min="7422" max="7422" width="15.8515625" style="282" customWidth="1"/>
    <col min="7423" max="7423" width="16.421875" style="282" bestFit="1" customWidth="1"/>
    <col min="7424" max="7672" width="8.8515625" style="282" customWidth="1"/>
    <col min="7673" max="7673" width="7.7109375" style="282" bestFit="1" customWidth="1"/>
    <col min="7674" max="7674" width="14.140625" style="282" customWidth="1"/>
    <col min="7675" max="7675" width="85.7109375" style="282" customWidth="1"/>
    <col min="7676" max="7676" width="9.57421875" style="282" customWidth="1"/>
    <col min="7677" max="7677" width="6.00390625" style="282" bestFit="1" customWidth="1"/>
    <col min="7678" max="7678" width="15.8515625" style="282" customWidth="1"/>
    <col min="7679" max="7679" width="16.421875" style="282" bestFit="1" customWidth="1"/>
    <col min="7680" max="7928" width="8.8515625" style="282" customWidth="1"/>
    <col min="7929" max="7929" width="7.7109375" style="282" bestFit="1" customWidth="1"/>
    <col min="7930" max="7930" width="14.140625" style="282" customWidth="1"/>
    <col min="7931" max="7931" width="85.7109375" style="282" customWidth="1"/>
    <col min="7932" max="7932" width="9.57421875" style="282" customWidth="1"/>
    <col min="7933" max="7933" width="6.00390625" style="282" bestFit="1" customWidth="1"/>
    <col min="7934" max="7934" width="15.8515625" style="282" customWidth="1"/>
    <col min="7935" max="7935" width="16.421875" style="282" bestFit="1" customWidth="1"/>
    <col min="7936" max="8184" width="8.8515625" style="282" customWidth="1"/>
    <col min="8185" max="8185" width="7.7109375" style="282" bestFit="1" customWidth="1"/>
    <col min="8186" max="8186" width="14.140625" style="282" customWidth="1"/>
    <col min="8187" max="8187" width="85.7109375" style="282" customWidth="1"/>
    <col min="8188" max="8188" width="9.57421875" style="282" customWidth="1"/>
    <col min="8189" max="8189" width="6.00390625" style="282" bestFit="1" customWidth="1"/>
    <col min="8190" max="8190" width="15.8515625" style="282" customWidth="1"/>
    <col min="8191" max="8191" width="16.421875" style="282" bestFit="1" customWidth="1"/>
    <col min="8192" max="8440" width="8.8515625" style="282" customWidth="1"/>
    <col min="8441" max="8441" width="7.7109375" style="282" bestFit="1" customWidth="1"/>
    <col min="8442" max="8442" width="14.140625" style="282" customWidth="1"/>
    <col min="8443" max="8443" width="85.7109375" style="282" customWidth="1"/>
    <col min="8444" max="8444" width="9.57421875" style="282" customWidth="1"/>
    <col min="8445" max="8445" width="6.00390625" style="282" bestFit="1" customWidth="1"/>
    <col min="8446" max="8446" width="15.8515625" style="282" customWidth="1"/>
    <col min="8447" max="8447" width="16.421875" style="282" bestFit="1" customWidth="1"/>
    <col min="8448" max="8696" width="8.8515625" style="282" customWidth="1"/>
    <col min="8697" max="8697" width="7.7109375" style="282" bestFit="1" customWidth="1"/>
    <col min="8698" max="8698" width="14.140625" style="282" customWidth="1"/>
    <col min="8699" max="8699" width="85.7109375" style="282" customWidth="1"/>
    <col min="8700" max="8700" width="9.57421875" style="282" customWidth="1"/>
    <col min="8701" max="8701" width="6.00390625" style="282" bestFit="1" customWidth="1"/>
    <col min="8702" max="8702" width="15.8515625" style="282" customWidth="1"/>
    <col min="8703" max="8703" width="16.421875" style="282" bestFit="1" customWidth="1"/>
    <col min="8704" max="8952" width="8.8515625" style="282" customWidth="1"/>
    <col min="8953" max="8953" width="7.7109375" style="282" bestFit="1" customWidth="1"/>
    <col min="8954" max="8954" width="14.140625" style="282" customWidth="1"/>
    <col min="8955" max="8955" width="85.7109375" style="282" customWidth="1"/>
    <col min="8956" max="8956" width="9.57421875" style="282" customWidth="1"/>
    <col min="8957" max="8957" width="6.00390625" style="282" bestFit="1" customWidth="1"/>
    <col min="8958" max="8958" width="15.8515625" style="282" customWidth="1"/>
    <col min="8959" max="8959" width="16.421875" style="282" bestFit="1" customWidth="1"/>
    <col min="8960" max="9208" width="8.8515625" style="282" customWidth="1"/>
    <col min="9209" max="9209" width="7.7109375" style="282" bestFit="1" customWidth="1"/>
    <col min="9210" max="9210" width="14.140625" style="282" customWidth="1"/>
    <col min="9211" max="9211" width="85.7109375" style="282" customWidth="1"/>
    <col min="9212" max="9212" width="9.57421875" style="282" customWidth="1"/>
    <col min="9213" max="9213" width="6.00390625" style="282" bestFit="1" customWidth="1"/>
    <col min="9214" max="9214" width="15.8515625" style="282" customWidth="1"/>
    <col min="9215" max="9215" width="16.421875" style="282" bestFit="1" customWidth="1"/>
    <col min="9216" max="9464" width="8.8515625" style="282" customWidth="1"/>
    <col min="9465" max="9465" width="7.7109375" style="282" bestFit="1" customWidth="1"/>
    <col min="9466" max="9466" width="14.140625" style="282" customWidth="1"/>
    <col min="9467" max="9467" width="85.7109375" style="282" customWidth="1"/>
    <col min="9468" max="9468" width="9.57421875" style="282" customWidth="1"/>
    <col min="9469" max="9469" width="6.00390625" style="282" bestFit="1" customWidth="1"/>
    <col min="9470" max="9470" width="15.8515625" style="282" customWidth="1"/>
    <col min="9471" max="9471" width="16.421875" style="282" bestFit="1" customWidth="1"/>
    <col min="9472" max="9720" width="8.8515625" style="282" customWidth="1"/>
    <col min="9721" max="9721" width="7.7109375" style="282" bestFit="1" customWidth="1"/>
    <col min="9722" max="9722" width="14.140625" style="282" customWidth="1"/>
    <col min="9723" max="9723" width="85.7109375" style="282" customWidth="1"/>
    <col min="9724" max="9724" width="9.57421875" style="282" customWidth="1"/>
    <col min="9725" max="9725" width="6.00390625" style="282" bestFit="1" customWidth="1"/>
    <col min="9726" max="9726" width="15.8515625" style="282" customWidth="1"/>
    <col min="9727" max="9727" width="16.421875" style="282" bestFit="1" customWidth="1"/>
    <col min="9728" max="9976" width="8.8515625" style="282" customWidth="1"/>
    <col min="9977" max="9977" width="7.7109375" style="282" bestFit="1" customWidth="1"/>
    <col min="9978" max="9978" width="14.140625" style="282" customWidth="1"/>
    <col min="9979" max="9979" width="85.7109375" style="282" customWidth="1"/>
    <col min="9980" max="9980" width="9.57421875" style="282" customWidth="1"/>
    <col min="9981" max="9981" width="6.00390625" style="282" bestFit="1" customWidth="1"/>
    <col min="9982" max="9982" width="15.8515625" style="282" customWidth="1"/>
    <col min="9983" max="9983" width="16.421875" style="282" bestFit="1" customWidth="1"/>
    <col min="9984" max="10232" width="8.8515625" style="282" customWidth="1"/>
    <col min="10233" max="10233" width="7.7109375" style="282" bestFit="1" customWidth="1"/>
    <col min="10234" max="10234" width="14.140625" style="282" customWidth="1"/>
    <col min="10235" max="10235" width="85.7109375" style="282" customWidth="1"/>
    <col min="10236" max="10236" width="9.57421875" style="282" customWidth="1"/>
    <col min="10237" max="10237" width="6.00390625" style="282" bestFit="1" customWidth="1"/>
    <col min="10238" max="10238" width="15.8515625" style="282" customWidth="1"/>
    <col min="10239" max="10239" width="16.421875" style="282" bestFit="1" customWidth="1"/>
    <col min="10240" max="10488" width="8.8515625" style="282" customWidth="1"/>
    <col min="10489" max="10489" width="7.7109375" style="282" bestFit="1" customWidth="1"/>
    <col min="10490" max="10490" width="14.140625" style="282" customWidth="1"/>
    <col min="10491" max="10491" width="85.7109375" style="282" customWidth="1"/>
    <col min="10492" max="10492" width="9.57421875" style="282" customWidth="1"/>
    <col min="10493" max="10493" width="6.00390625" style="282" bestFit="1" customWidth="1"/>
    <col min="10494" max="10494" width="15.8515625" style="282" customWidth="1"/>
    <col min="10495" max="10495" width="16.421875" style="282" bestFit="1" customWidth="1"/>
    <col min="10496" max="10744" width="8.8515625" style="282" customWidth="1"/>
    <col min="10745" max="10745" width="7.7109375" style="282" bestFit="1" customWidth="1"/>
    <col min="10746" max="10746" width="14.140625" style="282" customWidth="1"/>
    <col min="10747" max="10747" width="85.7109375" style="282" customWidth="1"/>
    <col min="10748" max="10748" width="9.57421875" style="282" customWidth="1"/>
    <col min="10749" max="10749" width="6.00390625" style="282" bestFit="1" customWidth="1"/>
    <col min="10750" max="10750" width="15.8515625" style="282" customWidth="1"/>
    <col min="10751" max="10751" width="16.421875" style="282" bestFit="1" customWidth="1"/>
    <col min="10752" max="11000" width="8.8515625" style="282" customWidth="1"/>
    <col min="11001" max="11001" width="7.7109375" style="282" bestFit="1" customWidth="1"/>
    <col min="11002" max="11002" width="14.140625" style="282" customWidth="1"/>
    <col min="11003" max="11003" width="85.7109375" style="282" customWidth="1"/>
    <col min="11004" max="11004" width="9.57421875" style="282" customWidth="1"/>
    <col min="11005" max="11005" width="6.00390625" style="282" bestFit="1" customWidth="1"/>
    <col min="11006" max="11006" width="15.8515625" style="282" customWidth="1"/>
    <col min="11007" max="11007" width="16.421875" style="282" bestFit="1" customWidth="1"/>
    <col min="11008" max="11256" width="8.8515625" style="282" customWidth="1"/>
    <col min="11257" max="11257" width="7.7109375" style="282" bestFit="1" customWidth="1"/>
    <col min="11258" max="11258" width="14.140625" style="282" customWidth="1"/>
    <col min="11259" max="11259" width="85.7109375" style="282" customWidth="1"/>
    <col min="11260" max="11260" width="9.57421875" style="282" customWidth="1"/>
    <col min="11261" max="11261" width="6.00390625" style="282" bestFit="1" customWidth="1"/>
    <col min="11262" max="11262" width="15.8515625" style="282" customWidth="1"/>
    <col min="11263" max="11263" width="16.421875" style="282" bestFit="1" customWidth="1"/>
    <col min="11264" max="11512" width="8.8515625" style="282" customWidth="1"/>
    <col min="11513" max="11513" width="7.7109375" style="282" bestFit="1" customWidth="1"/>
    <col min="11514" max="11514" width="14.140625" style="282" customWidth="1"/>
    <col min="11515" max="11515" width="85.7109375" style="282" customWidth="1"/>
    <col min="11516" max="11516" width="9.57421875" style="282" customWidth="1"/>
    <col min="11517" max="11517" width="6.00390625" style="282" bestFit="1" customWidth="1"/>
    <col min="11518" max="11518" width="15.8515625" style="282" customWidth="1"/>
    <col min="11519" max="11519" width="16.421875" style="282" bestFit="1" customWidth="1"/>
    <col min="11520" max="11768" width="8.8515625" style="282" customWidth="1"/>
    <col min="11769" max="11769" width="7.7109375" style="282" bestFit="1" customWidth="1"/>
    <col min="11770" max="11770" width="14.140625" style="282" customWidth="1"/>
    <col min="11771" max="11771" width="85.7109375" style="282" customWidth="1"/>
    <col min="11772" max="11772" width="9.57421875" style="282" customWidth="1"/>
    <col min="11773" max="11773" width="6.00390625" style="282" bestFit="1" customWidth="1"/>
    <col min="11774" max="11774" width="15.8515625" style="282" customWidth="1"/>
    <col min="11775" max="11775" width="16.421875" style="282" bestFit="1" customWidth="1"/>
    <col min="11776" max="12024" width="8.8515625" style="282" customWidth="1"/>
    <col min="12025" max="12025" width="7.7109375" style="282" bestFit="1" customWidth="1"/>
    <col min="12026" max="12026" width="14.140625" style="282" customWidth="1"/>
    <col min="12027" max="12027" width="85.7109375" style="282" customWidth="1"/>
    <col min="12028" max="12028" width="9.57421875" style="282" customWidth="1"/>
    <col min="12029" max="12029" width="6.00390625" style="282" bestFit="1" customWidth="1"/>
    <col min="12030" max="12030" width="15.8515625" style="282" customWidth="1"/>
    <col min="12031" max="12031" width="16.421875" style="282" bestFit="1" customWidth="1"/>
    <col min="12032" max="12280" width="8.8515625" style="282" customWidth="1"/>
    <col min="12281" max="12281" width="7.7109375" style="282" bestFit="1" customWidth="1"/>
    <col min="12282" max="12282" width="14.140625" style="282" customWidth="1"/>
    <col min="12283" max="12283" width="85.7109375" style="282" customWidth="1"/>
    <col min="12284" max="12284" width="9.57421875" style="282" customWidth="1"/>
    <col min="12285" max="12285" width="6.00390625" style="282" bestFit="1" customWidth="1"/>
    <col min="12286" max="12286" width="15.8515625" style="282" customWidth="1"/>
    <col min="12287" max="12287" width="16.421875" style="282" bestFit="1" customWidth="1"/>
    <col min="12288" max="12536" width="8.8515625" style="282" customWidth="1"/>
    <col min="12537" max="12537" width="7.7109375" style="282" bestFit="1" customWidth="1"/>
    <col min="12538" max="12538" width="14.140625" style="282" customWidth="1"/>
    <col min="12539" max="12539" width="85.7109375" style="282" customWidth="1"/>
    <col min="12540" max="12540" width="9.57421875" style="282" customWidth="1"/>
    <col min="12541" max="12541" width="6.00390625" style="282" bestFit="1" customWidth="1"/>
    <col min="12542" max="12542" width="15.8515625" style="282" customWidth="1"/>
    <col min="12543" max="12543" width="16.421875" style="282" bestFit="1" customWidth="1"/>
    <col min="12544" max="12792" width="8.8515625" style="282" customWidth="1"/>
    <col min="12793" max="12793" width="7.7109375" style="282" bestFit="1" customWidth="1"/>
    <col min="12794" max="12794" width="14.140625" style="282" customWidth="1"/>
    <col min="12795" max="12795" width="85.7109375" style="282" customWidth="1"/>
    <col min="12796" max="12796" width="9.57421875" style="282" customWidth="1"/>
    <col min="12797" max="12797" width="6.00390625" style="282" bestFit="1" customWidth="1"/>
    <col min="12798" max="12798" width="15.8515625" style="282" customWidth="1"/>
    <col min="12799" max="12799" width="16.421875" style="282" bestFit="1" customWidth="1"/>
    <col min="12800" max="13048" width="8.8515625" style="282" customWidth="1"/>
    <col min="13049" max="13049" width="7.7109375" style="282" bestFit="1" customWidth="1"/>
    <col min="13050" max="13050" width="14.140625" style="282" customWidth="1"/>
    <col min="13051" max="13051" width="85.7109375" style="282" customWidth="1"/>
    <col min="13052" max="13052" width="9.57421875" style="282" customWidth="1"/>
    <col min="13053" max="13053" width="6.00390625" style="282" bestFit="1" customWidth="1"/>
    <col min="13054" max="13054" width="15.8515625" style="282" customWidth="1"/>
    <col min="13055" max="13055" width="16.421875" style="282" bestFit="1" customWidth="1"/>
    <col min="13056" max="13304" width="8.8515625" style="282" customWidth="1"/>
    <col min="13305" max="13305" width="7.7109375" style="282" bestFit="1" customWidth="1"/>
    <col min="13306" max="13306" width="14.140625" style="282" customWidth="1"/>
    <col min="13307" max="13307" width="85.7109375" style="282" customWidth="1"/>
    <col min="13308" max="13308" width="9.57421875" style="282" customWidth="1"/>
    <col min="13309" max="13309" width="6.00390625" style="282" bestFit="1" customWidth="1"/>
    <col min="13310" max="13310" width="15.8515625" style="282" customWidth="1"/>
    <col min="13311" max="13311" width="16.421875" style="282" bestFit="1" customWidth="1"/>
    <col min="13312" max="13560" width="8.8515625" style="282" customWidth="1"/>
    <col min="13561" max="13561" width="7.7109375" style="282" bestFit="1" customWidth="1"/>
    <col min="13562" max="13562" width="14.140625" style="282" customWidth="1"/>
    <col min="13563" max="13563" width="85.7109375" style="282" customWidth="1"/>
    <col min="13564" max="13564" width="9.57421875" style="282" customWidth="1"/>
    <col min="13565" max="13565" width="6.00390625" style="282" bestFit="1" customWidth="1"/>
    <col min="13566" max="13566" width="15.8515625" style="282" customWidth="1"/>
    <col min="13567" max="13567" width="16.421875" style="282" bestFit="1" customWidth="1"/>
    <col min="13568" max="13816" width="8.8515625" style="282" customWidth="1"/>
    <col min="13817" max="13817" width="7.7109375" style="282" bestFit="1" customWidth="1"/>
    <col min="13818" max="13818" width="14.140625" style="282" customWidth="1"/>
    <col min="13819" max="13819" width="85.7109375" style="282" customWidth="1"/>
    <col min="13820" max="13820" width="9.57421875" style="282" customWidth="1"/>
    <col min="13821" max="13821" width="6.00390625" style="282" bestFit="1" customWidth="1"/>
    <col min="13822" max="13822" width="15.8515625" style="282" customWidth="1"/>
    <col min="13823" max="13823" width="16.421875" style="282" bestFit="1" customWidth="1"/>
    <col min="13824" max="14072" width="8.8515625" style="282" customWidth="1"/>
    <col min="14073" max="14073" width="7.7109375" style="282" bestFit="1" customWidth="1"/>
    <col min="14074" max="14074" width="14.140625" style="282" customWidth="1"/>
    <col min="14075" max="14075" width="85.7109375" style="282" customWidth="1"/>
    <col min="14076" max="14076" width="9.57421875" style="282" customWidth="1"/>
    <col min="14077" max="14077" width="6.00390625" style="282" bestFit="1" customWidth="1"/>
    <col min="14078" max="14078" width="15.8515625" style="282" customWidth="1"/>
    <col min="14079" max="14079" width="16.421875" style="282" bestFit="1" customWidth="1"/>
    <col min="14080" max="14328" width="8.8515625" style="282" customWidth="1"/>
    <col min="14329" max="14329" width="7.7109375" style="282" bestFit="1" customWidth="1"/>
    <col min="14330" max="14330" width="14.140625" style="282" customWidth="1"/>
    <col min="14331" max="14331" width="85.7109375" style="282" customWidth="1"/>
    <col min="14332" max="14332" width="9.57421875" style="282" customWidth="1"/>
    <col min="14333" max="14333" width="6.00390625" style="282" bestFit="1" customWidth="1"/>
    <col min="14334" max="14334" width="15.8515625" style="282" customWidth="1"/>
    <col min="14335" max="14335" width="16.421875" style="282" bestFit="1" customWidth="1"/>
    <col min="14336" max="14584" width="8.8515625" style="282" customWidth="1"/>
    <col min="14585" max="14585" width="7.7109375" style="282" bestFit="1" customWidth="1"/>
    <col min="14586" max="14586" width="14.140625" style="282" customWidth="1"/>
    <col min="14587" max="14587" width="85.7109375" style="282" customWidth="1"/>
    <col min="14588" max="14588" width="9.57421875" style="282" customWidth="1"/>
    <col min="14589" max="14589" width="6.00390625" style="282" bestFit="1" customWidth="1"/>
    <col min="14590" max="14590" width="15.8515625" style="282" customWidth="1"/>
    <col min="14591" max="14591" width="16.421875" style="282" bestFit="1" customWidth="1"/>
    <col min="14592" max="14840" width="8.8515625" style="282" customWidth="1"/>
    <col min="14841" max="14841" width="7.7109375" style="282" bestFit="1" customWidth="1"/>
    <col min="14842" max="14842" width="14.140625" style="282" customWidth="1"/>
    <col min="14843" max="14843" width="85.7109375" style="282" customWidth="1"/>
    <col min="14844" max="14844" width="9.57421875" style="282" customWidth="1"/>
    <col min="14845" max="14845" width="6.00390625" style="282" bestFit="1" customWidth="1"/>
    <col min="14846" max="14846" width="15.8515625" style="282" customWidth="1"/>
    <col min="14847" max="14847" width="16.421875" style="282" bestFit="1" customWidth="1"/>
    <col min="14848" max="15096" width="8.8515625" style="282" customWidth="1"/>
    <col min="15097" max="15097" width="7.7109375" style="282" bestFit="1" customWidth="1"/>
    <col min="15098" max="15098" width="14.140625" style="282" customWidth="1"/>
    <col min="15099" max="15099" width="85.7109375" style="282" customWidth="1"/>
    <col min="15100" max="15100" width="9.57421875" style="282" customWidth="1"/>
    <col min="15101" max="15101" width="6.00390625" style="282" bestFit="1" customWidth="1"/>
    <col min="15102" max="15102" width="15.8515625" style="282" customWidth="1"/>
    <col min="15103" max="15103" width="16.421875" style="282" bestFit="1" customWidth="1"/>
    <col min="15104" max="15352" width="8.8515625" style="282" customWidth="1"/>
    <col min="15353" max="15353" width="7.7109375" style="282" bestFit="1" customWidth="1"/>
    <col min="15354" max="15354" width="14.140625" style="282" customWidth="1"/>
    <col min="15355" max="15355" width="85.7109375" style="282" customWidth="1"/>
    <col min="15356" max="15356" width="9.57421875" style="282" customWidth="1"/>
    <col min="15357" max="15357" width="6.00390625" style="282" bestFit="1" customWidth="1"/>
    <col min="15358" max="15358" width="15.8515625" style="282" customWidth="1"/>
    <col min="15359" max="15359" width="16.421875" style="282" bestFit="1" customWidth="1"/>
    <col min="15360" max="15608" width="8.8515625" style="282" customWidth="1"/>
    <col min="15609" max="15609" width="7.7109375" style="282" bestFit="1" customWidth="1"/>
    <col min="15610" max="15610" width="14.140625" style="282" customWidth="1"/>
    <col min="15611" max="15611" width="85.7109375" style="282" customWidth="1"/>
    <col min="15612" max="15612" width="9.57421875" style="282" customWidth="1"/>
    <col min="15613" max="15613" width="6.00390625" style="282" bestFit="1" customWidth="1"/>
    <col min="15614" max="15614" width="15.8515625" style="282" customWidth="1"/>
    <col min="15615" max="15615" width="16.421875" style="282" bestFit="1" customWidth="1"/>
    <col min="15616" max="15864" width="8.8515625" style="282" customWidth="1"/>
    <col min="15865" max="15865" width="7.7109375" style="282" bestFit="1" customWidth="1"/>
    <col min="15866" max="15866" width="14.140625" style="282" customWidth="1"/>
    <col min="15867" max="15867" width="85.7109375" style="282" customWidth="1"/>
    <col min="15868" max="15868" width="9.57421875" style="282" customWidth="1"/>
    <col min="15869" max="15869" width="6.00390625" style="282" bestFit="1" customWidth="1"/>
    <col min="15870" max="15870" width="15.8515625" style="282" customWidth="1"/>
    <col min="15871" max="15871" width="16.421875" style="282" bestFit="1" customWidth="1"/>
    <col min="15872" max="16120" width="8.8515625" style="282" customWidth="1"/>
    <col min="16121" max="16121" width="7.7109375" style="282" bestFit="1" customWidth="1"/>
    <col min="16122" max="16122" width="14.140625" style="282" customWidth="1"/>
    <col min="16123" max="16123" width="85.7109375" style="282" customWidth="1"/>
    <col min="16124" max="16124" width="9.57421875" style="282" customWidth="1"/>
    <col min="16125" max="16125" width="6.00390625" style="282" bestFit="1" customWidth="1"/>
    <col min="16126" max="16126" width="15.8515625" style="282" customWidth="1"/>
    <col min="16127" max="16127" width="16.421875" style="282" bestFit="1" customWidth="1"/>
    <col min="16128" max="16384" width="8.8515625" style="282" customWidth="1"/>
  </cols>
  <sheetData>
    <row r="1" spans="1:7" ht="17.4">
      <c r="A1" s="278"/>
      <c r="B1" s="279"/>
      <c r="C1" s="280" t="s">
        <v>1374</v>
      </c>
      <c r="D1" s="279"/>
      <c r="E1" s="278"/>
      <c r="F1" s="281"/>
      <c r="G1" s="281"/>
    </row>
    <row r="2" spans="1:7" ht="15" thickBot="1">
      <c r="A2" s="278"/>
      <c r="B2" s="279"/>
      <c r="C2" s="283"/>
      <c r="D2" s="842"/>
      <c r="E2" s="843"/>
      <c r="F2" s="843"/>
      <c r="G2" s="284"/>
    </row>
    <row r="3" spans="1:7" s="290" customFormat="1" ht="15" thickBot="1">
      <c r="A3" s="285" t="s">
        <v>1386</v>
      </c>
      <c r="B3" s="286" t="s">
        <v>1387</v>
      </c>
      <c r="C3" s="287" t="s">
        <v>1388</v>
      </c>
      <c r="D3" s="286" t="s">
        <v>81</v>
      </c>
      <c r="E3" s="285" t="s">
        <v>1389</v>
      </c>
      <c r="F3" s="288" t="s">
        <v>1390</v>
      </c>
      <c r="G3" s="289" t="s">
        <v>1391</v>
      </c>
    </row>
    <row r="4" spans="1:7" ht="15">
      <c r="A4" s="291"/>
      <c r="B4" s="292"/>
      <c r="C4" s="293" t="s">
        <v>1392</v>
      </c>
      <c r="D4" s="294"/>
      <c r="E4" s="291"/>
      <c r="F4" s="295"/>
      <c r="G4" s="296">
        <f>SUM(G5:G25)</f>
        <v>0</v>
      </c>
    </row>
    <row r="5" spans="1:7" s="303" customFormat="1" ht="15.6">
      <c r="A5" s="297" t="s">
        <v>1393</v>
      </c>
      <c r="B5" s="298"/>
      <c r="C5" s="297" t="s">
        <v>1394</v>
      </c>
      <c r="D5" s="299">
        <v>336</v>
      </c>
      <c r="E5" s="300" t="s">
        <v>697</v>
      </c>
      <c r="F5" s="301"/>
      <c r="G5" s="302">
        <f aca="true" t="shared" si="0" ref="G5:G24">D5*F5</f>
        <v>0</v>
      </c>
    </row>
    <row r="6" spans="1:7" ht="26.4">
      <c r="A6" s="304"/>
      <c r="B6" s="298">
        <v>741122122</v>
      </c>
      <c r="C6" s="304" t="s">
        <v>1395</v>
      </c>
      <c r="D6" s="305">
        <f>D5</f>
        <v>336</v>
      </c>
      <c r="E6" s="306" t="s">
        <v>697</v>
      </c>
      <c r="F6" s="307"/>
      <c r="G6" s="308">
        <f t="shared" si="0"/>
        <v>0</v>
      </c>
    </row>
    <row r="7" spans="1:7" s="303" customFormat="1" ht="15.6">
      <c r="A7" s="297" t="s">
        <v>1393</v>
      </c>
      <c r="B7" s="298" t="s">
        <v>70</v>
      </c>
      <c r="C7" s="297" t="s">
        <v>1396</v>
      </c>
      <c r="D7" s="299">
        <v>196</v>
      </c>
      <c r="E7" s="300" t="s">
        <v>697</v>
      </c>
      <c r="F7" s="301"/>
      <c r="G7" s="302">
        <f t="shared" si="0"/>
        <v>0</v>
      </c>
    </row>
    <row r="8" spans="1:7" ht="26.4">
      <c r="A8" s="304"/>
      <c r="B8" s="298">
        <v>741122121</v>
      </c>
      <c r="C8" s="304" t="s">
        <v>1397</v>
      </c>
      <c r="D8" s="305">
        <f>D7</f>
        <v>196</v>
      </c>
      <c r="E8" s="306" t="s">
        <v>697</v>
      </c>
      <c r="F8" s="307"/>
      <c r="G8" s="308">
        <f t="shared" si="0"/>
        <v>0</v>
      </c>
    </row>
    <row r="9" spans="1:7" s="303" customFormat="1" ht="15.6">
      <c r="A9" s="297" t="s">
        <v>1393</v>
      </c>
      <c r="B9" s="298" t="s">
        <v>70</v>
      </c>
      <c r="C9" s="297" t="s">
        <v>1398</v>
      </c>
      <c r="D9" s="299">
        <v>1211</v>
      </c>
      <c r="E9" s="300" t="s">
        <v>697</v>
      </c>
      <c r="F9" s="301"/>
      <c r="G9" s="302">
        <f t="shared" si="0"/>
        <v>0</v>
      </c>
    </row>
    <row r="10" spans="1:7" ht="26.4">
      <c r="A10" s="304"/>
      <c r="B10" s="298">
        <v>741122121</v>
      </c>
      <c r="C10" s="304" t="s">
        <v>1397</v>
      </c>
      <c r="D10" s="305">
        <f>D9</f>
        <v>1211</v>
      </c>
      <c r="E10" s="306" t="s">
        <v>697</v>
      </c>
      <c r="F10" s="307"/>
      <c r="G10" s="308">
        <f t="shared" si="0"/>
        <v>0</v>
      </c>
    </row>
    <row r="11" spans="1:7" s="303" customFormat="1" ht="15.6">
      <c r="A11" s="297" t="s">
        <v>1399</v>
      </c>
      <c r="B11" s="298"/>
      <c r="C11" s="297" t="s">
        <v>1400</v>
      </c>
      <c r="D11" s="299">
        <v>1157</v>
      </c>
      <c r="E11" s="300" t="s">
        <v>697</v>
      </c>
      <c r="F11" s="301"/>
      <c r="G11" s="302">
        <f t="shared" si="0"/>
        <v>0</v>
      </c>
    </row>
    <row r="12" spans="1:7" ht="26.4">
      <c r="A12" s="304"/>
      <c r="B12" s="298">
        <v>741122122</v>
      </c>
      <c r="C12" s="304" t="s">
        <v>1395</v>
      </c>
      <c r="D12" s="305">
        <f>D11</f>
        <v>1157</v>
      </c>
      <c r="E12" s="306" t="s">
        <v>697</v>
      </c>
      <c r="F12" s="307"/>
      <c r="G12" s="308">
        <f t="shared" si="0"/>
        <v>0</v>
      </c>
    </row>
    <row r="13" spans="1:7" s="303" customFormat="1" ht="15.6">
      <c r="A13" s="297" t="s">
        <v>1401</v>
      </c>
      <c r="B13" s="298"/>
      <c r="C13" s="297" t="s">
        <v>1402</v>
      </c>
      <c r="D13" s="299">
        <v>2681</v>
      </c>
      <c r="E13" s="300" t="s">
        <v>697</v>
      </c>
      <c r="F13" s="301"/>
      <c r="G13" s="302">
        <f t="shared" si="0"/>
        <v>0</v>
      </c>
    </row>
    <row r="14" spans="1:7" ht="26.4">
      <c r="A14" s="304"/>
      <c r="B14" s="298">
        <v>741122122</v>
      </c>
      <c r="C14" s="304" t="s">
        <v>1395</v>
      </c>
      <c r="D14" s="305">
        <f>D13</f>
        <v>2681</v>
      </c>
      <c r="E14" s="306" t="s">
        <v>697</v>
      </c>
      <c r="F14" s="307"/>
      <c r="G14" s="308">
        <f t="shared" si="0"/>
        <v>0</v>
      </c>
    </row>
    <row r="15" spans="1:7" s="303" customFormat="1" ht="15.6">
      <c r="A15" s="297" t="s">
        <v>1403</v>
      </c>
      <c r="B15" s="298"/>
      <c r="C15" s="297" t="s">
        <v>1404</v>
      </c>
      <c r="D15" s="299">
        <v>62</v>
      </c>
      <c r="E15" s="300" t="s">
        <v>697</v>
      </c>
      <c r="F15" s="301"/>
      <c r="G15" s="302">
        <f t="shared" si="0"/>
        <v>0</v>
      </c>
    </row>
    <row r="16" spans="1:7" ht="26.4">
      <c r="A16" s="304"/>
      <c r="B16" s="298">
        <v>741122142</v>
      </c>
      <c r="C16" s="304" t="s">
        <v>1405</v>
      </c>
      <c r="D16" s="305">
        <f>D15</f>
        <v>62</v>
      </c>
      <c r="E16" s="306" t="s">
        <v>697</v>
      </c>
      <c r="F16" s="307"/>
      <c r="G16" s="308">
        <f t="shared" si="0"/>
        <v>0</v>
      </c>
    </row>
    <row r="17" spans="1:7" s="303" customFormat="1" ht="15.6">
      <c r="A17" s="297" t="s">
        <v>1406</v>
      </c>
      <c r="B17" s="298"/>
      <c r="C17" s="297" t="s">
        <v>1407</v>
      </c>
      <c r="D17" s="299">
        <v>610</v>
      </c>
      <c r="E17" s="300" t="s">
        <v>697</v>
      </c>
      <c r="F17" s="301"/>
      <c r="G17" s="302">
        <f t="shared" si="0"/>
        <v>0</v>
      </c>
    </row>
    <row r="18" spans="1:7" ht="26.4">
      <c r="A18" s="304"/>
      <c r="B18" s="298" t="s">
        <v>1408</v>
      </c>
      <c r="C18" s="304" t="s">
        <v>1409</v>
      </c>
      <c r="D18" s="305">
        <f>D17</f>
        <v>610</v>
      </c>
      <c r="E18" s="306" t="s">
        <v>697</v>
      </c>
      <c r="F18" s="307"/>
      <c r="G18" s="308">
        <f t="shared" si="0"/>
        <v>0</v>
      </c>
    </row>
    <row r="19" spans="1:7" s="303" customFormat="1" ht="13.2">
      <c r="A19" s="297" t="s">
        <v>1410</v>
      </c>
      <c r="B19" s="298"/>
      <c r="C19" s="297" t="s">
        <v>1411</v>
      </c>
      <c r="D19" s="299">
        <v>539</v>
      </c>
      <c r="E19" s="300" t="s">
        <v>697</v>
      </c>
      <c r="F19" s="301"/>
      <c r="G19" s="302">
        <f t="shared" si="0"/>
        <v>0</v>
      </c>
    </row>
    <row r="20" spans="1:7" ht="15">
      <c r="A20" s="304"/>
      <c r="B20" s="298">
        <v>742121001</v>
      </c>
      <c r="C20" s="304" t="s">
        <v>1412</v>
      </c>
      <c r="D20" s="305">
        <f>D19</f>
        <v>539</v>
      </c>
      <c r="E20" s="306" t="s">
        <v>697</v>
      </c>
      <c r="F20" s="307"/>
      <c r="G20" s="308">
        <f t="shared" si="0"/>
        <v>0</v>
      </c>
    </row>
    <row r="21" spans="1:7" s="303" customFormat="1" ht="13.2">
      <c r="A21" s="297" t="s">
        <v>1410</v>
      </c>
      <c r="B21" s="298"/>
      <c r="C21" s="297" t="s">
        <v>1413</v>
      </c>
      <c r="D21" s="299">
        <v>14</v>
      </c>
      <c r="E21" s="300" t="s">
        <v>697</v>
      </c>
      <c r="F21" s="301"/>
      <c r="G21" s="302">
        <f t="shared" si="0"/>
        <v>0</v>
      </c>
    </row>
    <row r="22" spans="1:7" ht="15">
      <c r="A22" s="304"/>
      <c r="B22" s="298">
        <v>742121001</v>
      </c>
      <c r="C22" s="304" t="s">
        <v>1412</v>
      </c>
      <c r="D22" s="309">
        <f>D21</f>
        <v>14</v>
      </c>
      <c r="E22" s="306" t="s">
        <v>697</v>
      </c>
      <c r="F22" s="307"/>
      <c r="G22" s="308">
        <f t="shared" si="0"/>
        <v>0</v>
      </c>
    </row>
    <row r="23" spans="1:7" s="303" customFormat="1" ht="13.2">
      <c r="A23" s="297" t="s">
        <v>1414</v>
      </c>
      <c r="B23" s="298"/>
      <c r="C23" s="297" t="s">
        <v>1415</v>
      </c>
      <c r="D23" s="299">
        <v>96</v>
      </c>
      <c r="E23" s="300" t="s">
        <v>697</v>
      </c>
      <c r="F23" s="301"/>
      <c r="G23" s="302">
        <f t="shared" si="0"/>
        <v>0</v>
      </c>
    </row>
    <row r="24" spans="1:7" ht="26.4">
      <c r="A24" s="304"/>
      <c r="B24" s="298">
        <v>741120003</v>
      </c>
      <c r="C24" s="304" t="s">
        <v>1416</v>
      </c>
      <c r="D24" s="305">
        <f>D23</f>
        <v>96</v>
      </c>
      <c r="E24" s="306" t="s">
        <v>697</v>
      </c>
      <c r="F24" s="307"/>
      <c r="G24" s="308">
        <f t="shared" si="0"/>
        <v>0</v>
      </c>
    </row>
    <row r="25" spans="1:7" ht="15">
      <c r="A25" s="304"/>
      <c r="B25" s="298"/>
      <c r="C25" s="304"/>
      <c r="D25" s="305"/>
      <c r="E25" s="306"/>
      <c r="F25" s="307"/>
      <c r="G25" s="308"/>
    </row>
    <row r="26" spans="1:7" ht="15">
      <c r="A26" s="291"/>
      <c r="B26" s="292"/>
      <c r="C26" s="310" t="s">
        <v>1417</v>
      </c>
      <c r="D26" s="294"/>
      <c r="E26" s="311"/>
      <c r="F26" s="295"/>
      <c r="G26" s="296">
        <f>SUM(G27:G45)</f>
        <v>0</v>
      </c>
    </row>
    <row r="27" spans="1:7" s="303" customFormat="1" ht="13.2">
      <c r="A27" s="297" t="s">
        <v>1393</v>
      </c>
      <c r="B27" s="298"/>
      <c r="C27" s="297" t="s">
        <v>1418</v>
      </c>
      <c r="D27" s="299">
        <v>63</v>
      </c>
      <c r="E27" s="300" t="s">
        <v>697</v>
      </c>
      <c r="F27" s="301"/>
      <c r="G27" s="302">
        <f aca="true" t="shared" si="1" ref="G27:G44">D27*F27</f>
        <v>0</v>
      </c>
    </row>
    <row r="28" spans="1:7" ht="15">
      <c r="A28" s="304"/>
      <c r="B28" s="298">
        <v>741910411</v>
      </c>
      <c r="C28" s="304" t="s">
        <v>1419</v>
      </c>
      <c r="D28" s="305">
        <f>D27</f>
        <v>63</v>
      </c>
      <c r="E28" s="306" t="s">
        <v>697</v>
      </c>
      <c r="F28" s="307"/>
      <c r="G28" s="308">
        <f t="shared" si="1"/>
        <v>0</v>
      </c>
    </row>
    <row r="29" spans="1:7" ht="15">
      <c r="A29" s="304"/>
      <c r="B29" s="298">
        <v>741910421</v>
      </c>
      <c r="C29" s="304" t="s">
        <v>1420</v>
      </c>
      <c r="D29" s="305">
        <f>D27</f>
        <v>63</v>
      </c>
      <c r="E29" s="306" t="s">
        <v>697</v>
      </c>
      <c r="F29" s="307"/>
      <c r="G29" s="308">
        <f t="shared" si="1"/>
        <v>0</v>
      </c>
    </row>
    <row r="30" spans="1:7" s="303" customFormat="1" ht="13.2">
      <c r="A30" s="297" t="s">
        <v>1399</v>
      </c>
      <c r="B30" s="298"/>
      <c r="C30" s="297" t="s">
        <v>1421</v>
      </c>
      <c r="D30" s="299">
        <v>98</v>
      </c>
      <c r="E30" s="300" t="s">
        <v>697</v>
      </c>
      <c r="F30" s="301"/>
      <c r="G30" s="302">
        <f t="shared" si="1"/>
        <v>0</v>
      </c>
    </row>
    <row r="31" spans="1:7" ht="26.4">
      <c r="A31" s="304"/>
      <c r="B31" s="298">
        <v>741110144</v>
      </c>
      <c r="C31" s="304" t="s">
        <v>1422</v>
      </c>
      <c r="D31" s="305">
        <f>D30</f>
        <v>98</v>
      </c>
      <c r="E31" s="306" t="s">
        <v>697</v>
      </c>
      <c r="F31" s="307"/>
      <c r="G31" s="308">
        <f t="shared" si="1"/>
        <v>0</v>
      </c>
    </row>
    <row r="32" spans="1:7" s="303" customFormat="1" ht="13.2">
      <c r="A32" s="297" t="s">
        <v>1401</v>
      </c>
      <c r="B32" s="298"/>
      <c r="C32" s="297" t="s">
        <v>1423</v>
      </c>
      <c r="D32" s="299">
        <v>790</v>
      </c>
      <c r="E32" s="300" t="s">
        <v>697</v>
      </c>
      <c r="F32" s="301"/>
      <c r="G32" s="302">
        <f t="shared" si="1"/>
        <v>0</v>
      </c>
    </row>
    <row r="33" spans="1:7" ht="26.4">
      <c r="A33" s="304"/>
      <c r="B33" s="298">
        <v>741110311</v>
      </c>
      <c r="C33" s="304" t="s">
        <v>1424</v>
      </c>
      <c r="D33" s="305">
        <f>D32</f>
        <v>790</v>
      </c>
      <c r="E33" s="306" t="s">
        <v>697</v>
      </c>
      <c r="F33" s="307"/>
      <c r="G33" s="308">
        <f t="shared" si="1"/>
        <v>0</v>
      </c>
    </row>
    <row r="34" spans="1:7" s="303" customFormat="1" ht="13.2">
      <c r="A34" s="297" t="s">
        <v>1403</v>
      </c>
      <c r="B34" s="298"/>
      <c r="C34" s="297" t="s">
        <v>1425</v>
      </c>
      <c r="D34" s="299">
        <v>575</v>
      </c>
      <c r="E34" s="300" t="s">
        <v>697</v>
      </c>
      <c r="F34" s="301"/>
      <c r="G34" s="302">
        <f t="shared" si="1"/>
        <v>0</v>
      </c>
    </row>
    <row r="35" spans="1:7" ht="26.4">
      <c r="A35" s="304"/>
      <c r="B35" s="298">
        <v>741110312</v>
      </c>
      <c r="C35" s="304" t="s">
        <v>1426</v>
      </c>
      <c r="D35" s="305">
        <f>D34</f>
        <v>575</v>
      </c>
      <c r="E35" s="306" t="s">
        <v>697</v>
      </c>
      <c r="F35" s="307"/>
      <c r="G35" s="308">
        <f t="shared" si="1"/>
        <v>0</v>
      </c>
    </row>
    <row r="36" spans="1:7" s="303" customFormat="1" ht="13.2">
      <c r="A36" s="297" t="s">
        <v>1406</v>
      </c>
      <c r="B36" s="298"/>
      <c r="C36" s="297" t="s">
        <v>1427</v>
      </c>
      <c r="D36" s="299">
        <v>88</v>
      </c>
      <c r="E36" s="300" t="s">
        <v>697</v>
      </c>
      <c r="F36" s="301"/>
      <c r="G36" s="302">
        <f t="shared" si="1"/>
        <v>0</v>
      </c>
    </row>
    <row r="37" spans="1:7" ht="26.4">
      <c r="A37" s="304"/>
      <c r="B37" s="298">
        <v>741110312</v>
      </c>
      <c r="C37" s="304" t="s">
        <v>1426</v>
      </c>
      <c r="D37" s="305">
        <f>D36</f>
        <v>88</v>
      </c>
      <c r="E37" s="306" t="s">
        <v>697</v>
      </c>
      <c r="F37" s="307"/>
      <c r="G37" s="308">
        <f t="shared" si="1"/>
        <v>0</v>
      </c>
    </row>
    <row r="38" spans="1:7" s="303" customFormat="1" ht="13.2">
      <c r="A38" s="297" t="s">
        <v>1410</v>
      </c>
      <c r="B38" s="298"/>
      <c r="C38" s="297" t="s">
        <v>1428</v>
      </c>
      <c r="D38" s="299">
        <v>149</v>
      </c>
      <c r="E38" s="300" t="s">
        <v>697</v>
      </c>
      <c r="F38" s="301"/>
      <c r="G38" s="302">
        <f t="shared" si="1"/>
        <v>0</v>
      </c>
    </row>
    <row r="39" spans="1:7" ht="26.4">
      <c r="A39" s="304"/>
      <c r="B39" s="298">
        <v>741110312</v>
      </c>
      <c r="C39" s="304" t="s">
        <v>1426</v>
      </c>
      <c r="D39" s="305">
        <f>D38</f>
        <v>149</v>
      </c>
      <c r="E39" s="306" t="s">
        <v>697</v>
      </c>
      <c r="F39" s="307"/>
      <c r="G39" s="308">
        <f t="shared" si="1"/>
        <v>0</v>
      </c>
    </row>
    <row r="40" spans="1:7" s="303" customFormat="1" ht="13.2">
      <c r="A40" s="297" t="s">
        <v>1414</v>
      </c>
      <c r="B40" s="298"/>
      <c r="C40" s="297" t="s">
        <v>1429</v>
      </c>
      <c r="D40" s="299">
        <v>32</v>
      </c>
      <c r="E40" s="300" t="s">
        <v>697</v>
      </c>
      <c r="F40" s="301"/>
      <c r="G40" s="302">
        <f t="shared" si="1"/>
        <v>0</v>
      </c>
    </row>
    <row r="41" spans="1:7" ht="26.4">
      <c r="A41" s="304"/>
      <c r="B41" s="298">
        <v>741110314</v>
      </c>
      <c r="C41" s="304" t="s">
        <v>1430</v>
      </c>
      <c r="D41" s="305">
        <f>D40</f>
        <v>32</v>
      </c>
      <c r="E41" s="306" t="s">
        <v>697</v>
      </c>
      <c r="F41" s="307"/>
      <c r="G41" s="308">
        <f t="shared" si="1"/>
        <v>0</v>
      </c>
    </row>
    <row r="42" spans="1:7" s="303" customFormat="1" ht="13.2">
      <c r="A42" s="297" t="s">
        <v>1431</v>
      </c>
      <c r="B42" s="298"/>
      <c r="C42" s="297" t="s">
        <v>1432</v>
      </c>
      <c r="D42" s="299">
        <v>3</v>
      </c>
      <c r="E42" s="300" t="s">
        <v>697</v>
      </c>
      <c r="F42" s="301"/>
      <c r="G42" s="302">
        <f t="shared" si="1"/>
        <v>0</v>
      </c>
    </row>
    <row r="43" spans="1:7" ht="26.4">
      <c r="A43" s="304"/>
      <c r="B43" s="298"/>
      <c r="C43" s="304" t="s">
        <v>1433</v>
      </c>
      <c r="D43" s="305">
        <f>D42</f>
        <v>3</v>
      </c>
      <c r="E43" s="306" t="s">
        <v>697</v>
      </c>
      <c r="F43" s="307"/>
      <c r="G43" s="308">
        <f t="shared" si="1"/>
        <v>0</v>
      </c>
    </row>
    <row r="44" spans="1:7" s="314" customFormat="1" ht="15">
      <c r="A44" s="304" t="s">
        <v>1434</v>
      </c>
      <c r="B44" s="298"/>
      <c r="C44" s="304" t="s">
        <v>1435</v>
      </c>
      <c r="D44" s="312">
        <v>79</v>
      </c>
      <c r="E44" s="313" t="s">
        <v>306</v>
      </c>
      <c r="F44" s="307"/>
      <c r="G44" s="308">
        <f t="shared" si="1"/>
        <v>0</v>
      </c>
    </row>
    <row r="45" spans="1:7" ht="15">
      <c r="A45" s="304"/>
      <c r="B45" s="298"/>
      <c r="C45" s="304"/>
      <c r="D45" s="305"/>
      <c r="E45" s="306"/>
      <c r="F45" s="307"/>
      <c r="G45" s="308"/>
    </row>
    <row r="46" spans="1:7" ht="15">
      <c r="A46" s="291"/>
      <c r="B46" s="292"/>
      <c r="C46" s="310" t="s">
        <v>1436</v>
      </c>
      <c r="D46" s="294"/>
      <c r="E46" s="311"/>
      <c r="F46" s="295"/>
      <c r="G46" s="296">
        <f>SUM(G47:G55)</f>
        <v>0</v>
      </c>
    </row>
    <row r="47" spans="1:7" s="303" customFormat="1" ht="13.2">
      <c r="A47" s="297" t="s">
        <v>1393</v>
      </c>
      <c r="B47" s="298"/>
      <c r="C47" s="297" t="s">
        <v>1437</v>
      </c>
      <c r="D47" s="299">
        <v>424</v>
      </c>
      <c r="E47" s="300" t="s">
        <v>209</v>
      </c>
      <c r="F47" s="301"/>
      <c r="G47" s="302">
        <f aca="true" t="shared" si="2" ref="G47:G54">D47*F47</f>
        <v>0</v>
      </c>
    </row>
    <row r="48" spans="1:7" ht="26.4">
      <c r="A48" s="304"/>
      <c r="B48" s="298">
        <v>741410041</v>
      </c>
      <c r="C48" s="304" t="s">
        <v>1438</v>
      </c>
      <c r="D48" s="305">
        <f>D47</f>
        <v>424</v>
      </c>
      <c r="E48" s="306" t="s">
        <v>209</v>
      </c>
      <c r="F48" s="307"/>
      <c r="G48" s="308">
        <f t="shared" si="2"/>
        <v>0</v>
      </c>
    </row>
    <row r="49" spans="1:7" s="303" customFormat="1" ht="13.2">
      <c r="A49" s="297" t="s">
        <v>1399</v>
      </c>
      <c r="B49" s="298"/>
      <c r="C49" s="297" t="s">
        <v>1439</v>
      </c>
      <c r="D49" s="299">
        <v>7</v>
      </c>
      <c r="E49" s="300" t="s">
        <v>306</v>
      </c>
      <c r="F49" s="301"/>
      <c r="G49" s="302">
        <f t="shared" si="2"/>
        <v>0</v>
      </c>
    </row>
    <row r="50" spans="1:7" ht="15">
      <c r="A50" s="304"/>
      <c r="B50" s="298">
        <v>210220301</v>
      </c>
      <c r="C50" s="304" t="s">
        <v>1440</v>
      </c>
      <c r="D50" s="305">
        <f>D49</f>
        <v>7</v>
      </c>
      <c r="E50" s="306" t="s">
        <v>306</v>
      </c>
      <c r="F50" s="307"/>
      <c r="G50" s="308">
        <f t="shared" si="2"/>
        <v>0</v>
      </c>
    </row>
    <row r="51" spans="1:7" s="303" customFormat="1" ht="13.2">
      <c r="A51" s="297" t="s">
        <v>1401</v>
      </c>
      <c r="B51" s="298"/>
      <c r="C51" s="297" t="s">
        <v>1441</v>
      </c>
      <c r="D51" s="299">
        <v>31</v>
      </c>
      <c r="E51" s="300" t="s">
        <v>306</v>
      </c>
      <c r="F51" s="301"/>
      <c r="G51" s="302">
        <f t="shared" si="2"/>
        <v>0</v>
      </c>
    </row>
    <row r="52" spans="1:7" ht="15">
      <c r="A52" s="304"/>
      <c r="B52" s="298">
        <v>210220301</v>
      </c>
      <c r="C52" s="304" t="s">
        <v>1440</v>
      </c>
      <c r="D52" s="305">
        <f>D51</f>
        <v>31</v>
      </c>
      <c r="E52" s="306" t="s">
        <v>306</v>
      </c>
      <c r="F52" s="307"/>
      <c r="G52" s="308">
        <f t="shared" si="2"/>
        <v>0</v>
      </c>
    </row>
    <row r="53" spans="1:7" s="303" customFormat="1" ht="13.2">
      <c r="A53" s="297" t="s">
        <v>1403</v>
      </c>
      <c r="B53" s="298"/>
      <c r="C53" s="297" t="s">
        <v>1442</v>
      </c>
      <c r="D53" s="299">
        <v>1</v>
      </c>
      <c r="E53" s="300" t="s">
        <v>919</v>
      </c>
      <c r="F53" s="301"/>
      <c r="G53" s="302">
        <f t="shared" si="2"/>
        <v>0</v>
      </c>
    </row>
    <row r="54" spans="1:7" ht="15">
      <c r="A54" s="304"/>
      <c r="B54" s="298">
        <v>210200000</v>
      </c>
      <c r="C54" s="304" t="s">
        <v>1443</v>
      </c>
      <c r="D54" s="305">
        <v>1</v>
      </c>
      <c r="E54" s="306" t="s">
        <v>919</v>
      </c>
      <c r="F54" s="307"/>
      <c r="G54" s="308">
        <f t="shared" si="2"/>
        <v>0</v>
      </c>
    </row>
    <row r="55" spans="1:7" ht="15">
      <c r="A55" s="304"/>
      <c r="B55" s="298"/>
      <c r="C55" s="304"/>
      <c r="D55" s="305"/>
      <c r="E55" s="306"/>
      <c r="F55" s="307"/>
      <c r="G55" s="308"/>
    </row>
    <row r="56" spans="1:7" ht="15">
      <c r="A56" s="291"/>
      <c r="B56" s="292"/>
      <c r="C56" s="310" t="s">
        <v>1444</v>
      </c>
      <c r="D56" s="294"/>
      <c r="E56" s="311"/>
      <c r="F56" s="295"/>
      <c r="G56" s="296">
        <f>SUM(G57:G61)</f>
        <v>0</v>
      </c>
    </row>
    <row r="57" spans="1:7" s="303" customFormat="1" ht="15">
      <c r="A57" s="304" t="s">
        <v>1393</v>
      </c>
      <c r="B57" s="298"/>
      <c r="C57" s="304" t="s">
        <v>1445</v>
      </c>
      <c r="D57" s="312">
        <v>6</v>
      </c>
      <c r="E57" s="313" t="s">
        <v>306</v>
      </c>
      <c r="F57" s="307"/>
      <c r="G57" s="315">
        <f aca="true" t="shared" si="3" ref="G57:G60">D57*F57</f>
        <v>0</v>
      </c>
    </row>
    <row r="58" spans="1:7" s="314" customFormat="1" ht="15">
      <c r="A58" s="304"/>
      <c r="B58" s="298">
        <v>741200002</v>
      </c>
      <c r="C58" s="304" t="s">
        <v>1446</v>
      </c>
      <c r="D58" s="312">
        <v>6</v>
      </c>
      <c r="E58" s="313" t="s">
        <v>306</v>
      </c>
      <c r="F58" s="307"/>
      <c r="G58" s="315">
        <f t="shared" si="3"/>
        <v>0</v>
      </c>
    </row>
    <row r="59" spans="1:7" s="303" customFormat="1" ht="14.25" customHeight="1">
      <c r="A59" s="304" t="s">
        <v>1399</v>
      </c>
      <c r="B59" s="298"/>
      <c r="C59" s="304" t="s">
        <v>1447</v>
      </c>
      <c r="D59" s="312">
        <v>1</v>
      </c>
      <c r="E59" s="313" t="s">
        <v>306</v>
      </c>
      <c r="F59" s="307"/>
      <c r="G59" s="315">
        <f t="shared" si="3"/>
        <v>0</v>
      </c>
    </row>
    <row r="60" spans="1:7" s="314" customFormat="1" ht="15">
      <c r="A60" s="304"/>
      <c r="B60" s="298">
        <v>741200002</v>
      </c>
      <c r="C60" s="304" t="s">
        <v>1446</v>
      </c>
      <c r="D60" s="312">
        <v>1</v>
      </c>
      <c r="E60" s="313" t="s">
        <v>306</v>
      </c>
      <c r="F60" s="307"/>
      <c r="G60" s="315">
        <f t="shared" si="3"/>
        <v>0</v>
      </c>
    </row>
    <row r="61" spans="1:7" ht="15">
      <c r="A61" s="304"/>
      <c r="B61" s="298"/>
      <c r="C61" s="304"/>
      <c r="D61" s="305"/>
      <c r="E61" s="306"/>
      <c r="F61" s="307"/>
      <c r="G61" s="308"/>
    </row>
    <row r="62" spans="1:7" ht="15">
      <c r="A62" s="291"/>
      <c r="B62" s="292"/>
      <c r="C62" s="310" t="s">
        <v>1448</v>
      </c>
      <c r="D62" s="294"/>
      <c r="E62" s="311"/>
      <c r="F62" s="295"/>
      <c r="G62" s="296">
        <f>SUM(G63:G71)</f>
        <v>0</v>
      </c>
    </row>
    <row r="63" spans="1:7" s="314" customFormat="1" ht="15">
      <c r="A63" s="304" t="s">
        <v>1393</v>
      </c>
      <c r="B63" s="298"/>
      <c r="C63" s="304" t="s">
        <v>1449</v>
      </c>
      <c r="D63" s="312">
        <v>1</v>
      </c>
      <c r="E63" s="316" t="s">
        <v>306</v>
      </c>
      <c r="F63" s="307"/>
      <c r="G63" s="315">
        <f aca="true" t="shared" si="4" ref="G63:G70">D63*F63</f>
        <v>0</v>
      </c>
    </row>
    <row r="64" spans="1:7" s="314" customFormat="1" ht="15">
      <c r="A64" s="304"/>
      <c r="B64" s="298"/>
      <c r="C64" s="317" t="s">
        <v>1450</v>
      </c>
      <c r="D64" s="312"/>
      <c r="E64" s="316"/>
      <c r="F64" s="307"/>
      <c r="G64" s="315"/>
    </row>
    <row r="65" spans="1:7" s="314" customFormat="1" ht="26.4">
      <c r="A65" s="304"/>
      <c r="B65" s="298">
        <v>741210201</v>
      </c>
      <c r="C65" s="304" t="s">
        <v>1451</v>
      </c>
      <c r="D65" s="312">
        <v>1</v>
      </c>
      <c r="E65" s="316" t="s">
        <v>306</v>
      </c>
      <c r="F65" s="307"/>
      <c r="G65" s="315">
        <f aca="true" t="shared" si="5" ref="G65">D65*F65</f>
        <v>0</v>
      </c>
    </row>
    <row r="66" spans="1:7" s="314" customFormat="1" ht="15">
      <c r="A66" s="304"/>
      <c r="B66" s="298"/>
      <c r="C66" s="317" t="s">
        <v>1452</v>
      </c>
      <c r="D66" s="312"/>
      <c r="E66" s="316"/>
      <c r="F66" s="307"/>
      <c r="G66" s="315"/>
    </row>
    <row r="67" spans="1:7" s="314" customFormat="1" ht="13.5" customHeight="1">
      <c r="A67" s="304" t="s">
        <v>1399</v>
      </c>
      <c r="B67" s="298"/>
      <c r="C67" s="304" t="s">
        <v>1453</v>
      </c>
      <c r="D67" s="312">
        <v>1</v>
      </c>
      <c r="E67" s="316" t="s">
        <v>306</v>
      </c>
      <c r="F67" s="307"/>
      <c r="G67" s="315">
        <f t="shared" si="4"/>
        <v>0</v>
      </c>
    </row>
    <row r="68" spans="1:7" s="318" customFormat="1" ht="15">
      <c r="A68" s="304" t="s">
        <v>1401</v>
      </c>
      <c r="B68" s="298"/>
      <c r="C68" s="304" t="s">
        <v>1454</v>
      </c>
      <c r="D68" s="309">
        <f>D67</f>
        <v>1</v>
      </c>
      <c r="E68" s="316" t="s">
        <v>306</v>
      </c>
      <c r="F68" s="307"/>
      <c r="G68" s="315">
        <f t="shared" si="4"/>
        <v>0</v>
      </c>
    </row>
    <row r="69" spans="1:7" s="318" customFormat="1" ht="15">
      <c r="A69" s="304"/>
      <c r="B69" s="298">
        <v>741210001</v>
      </c>
      <c r="C69" s="304" t="s">
        <v>1455</v>
      </c>
      <c r="D69" s="309">
        <v>1</v>
      </c>
      <c r="E69" s="306" t="s">
        <v>306</v>
      </c>
      <c r="F69" s="307"/>
      <c r="G69" s="308">
        <f t="shared" si="4"/>
        <v>0</v>
      </c>
    </row>
    <row r="70" spans="1:7" s="318" customFormat="1" ht="15">
      <c r="A70" s="304"/>
      <c r="B70" s="298"/>
      <c r="C70" s="304" t="s">
        <v>1456</v>
      </c>
      <c r="D70" s="309">
        <v>1</v>
      </c>
      <c r="E70" s="306" t="s">
        <v>306</v>
      </c>
      <c r="F70" s="307"/>
      <c r="G70" s="308">
        <f t="shared" si="4"/>
        <v>0</v>
      </c>
    </row>
    <row r="71" spans="1:7" ht="15">
      <c r="A71" s="304"/>
      <c r="B71" s="298"/>
      <c r="C71" s="304"/>
      <c r="D71" s="305"/>
      <c r="E71" s="306"/>
      <c r="F71" s="307"/>
      <c r="G71" s="308"/>
    </row>
    <row r="72" spans="1:7" ht="15">
      <c r="A72" s="291"/>
      <c r="B72" s="292"/>
      <c r="C72" s="310" t="s">
        <v>1457</v>
      </c>
      <c r="D72" s="294"/>
      <c r="E72" s="311"/>
      <c r="F72" s="295"/>
      <c r="G72" s="296">
        <f>SUM(G73:G123)</f>
        <v>0</v>
      </c>
    </row>
    <row r="73" spans="1:7" s="303" customFormat="1" ht="13.2">
      <c r="A73" s="297" t="s">
        <v>1393</v>
      </c>
      <c r="B73" s="319"/>
      <c r="C73" s="297" t="s">
        <v>1458</v>
      </c>
      <c r="D73" s="299">
        <v>7</v>
      </c>
      <c r="E73" s="300" t="s">
        <v>306</v>
      </c>
      <c r="F73" s="301"/>
      <c r="G73" s="302">
        <f aca="true" t="shared" si="6" ref="G73:G122">D73*F73</f>
        <v>0</v>
      </c>
    </row>
    <row r="74" spans="1:7" s="303" customFormat="1" ht="13.2">
      <c r="A74" s="297"/>
      <c r="B74" s="319"/>
      <c r="C74" s="317" t="s">
        <v>1459</v>
      </c>
      <c r="D74" s="299"/>
      <c r="E74" s="300"/>
      <c r="F74" s="301"/>
      <c r="G74" s="302"/>
    </row>
    <row r="75" spans="1:7" ht="15">
      <c r="A75" s="304"/>
      <c r="B75" s="298">
        <v>210202013</v>
      </c>
      <c r="C75" s="304" t="s">
        <v>1460</v>
      </c>
      <c r="D75" s="305">
        <f>D73</f>
        <v>7</v>
      </c>
      <c r="E75" s="306" t="s">
        <v>306</v>
      </c>
      <c r="F75" s="307"/>
      <c r="G75" s="308">
        <f t="shared" si="6"/>
        <v>0</v>
      </c>
    </row>
    <row r="76" spans="1:7" s="303" customFormat="1" ht="13.2">
      <c r="A76" s="297" t="s">
        <v>1399</v>
      </c>
      <c r="B76" s="319"/>
      <c r="C76" s="297" t="s">
        <v>1461</v>
      </c>
      <c r="D76" s="299">
        <v>8</v>
      </c>
      <c r="E76" s="300" t="s">
        <v>306</v>
      </c>
      <c r="F76" s="301"/>
      <c r="G76" s="302">
        <f t="shared" si="6"/>
        <v>0</v>
      </c>
    </row>
    <row r="77" spans="1:7" s="303" customFormat="1" ht="13.2">
      <c r="A77" s="297"/>
      <c r="B77" s="319"/>
      <c r="C77" s="317" t="s">
        <v>1462</v>
      </c>
      <c r="D77" s="299"/>
      <c r="E77" s="300"/>
      <c r="F77" s="301"/>
      <c r="G77" s="302"/>
    </row>
    <row r="78" spans="1:7" ht="15">
      <c r="A78" s="304"/>
      <c r="B78" s="298">
        <v>210202013</v>
      </c>
      <c r="C78" s="304" t="s">
        <v>1460</v>
      </c>
      <c r="D78" s="305">
        <f>D76</f>
        <v>8</v>
      </c>
      <c r="E78" s="306" t="s">
        <v>306</v>
      </c>
      <c r="F78" s="307"/>
      <c r="G78" s="308">
        <f t="shared" si="6"/>
        <v>0</v>
      </c>
    </row>
    <row r="79" spans="1:7" s="303" customFormat="1" ht="13.2">
      <c r="A79" s="297" t="s">
        <v>1401</v>
      </c>
      <c r="B79" s="319"/>
      <c r="C79" s="297" t="s">
        <v>1463</v>
      </c>
      <c r="D79" s="299">
        <v>57</v>
      </c>
      <c r="E79" s="300" t="s">
        <v>306</v>
      </c>
      <c r="F79" s="301"/>
      <c r="G79" s="302">
        <f t="shared" si="6"/>
        <v>0</v>
      </c>
    </row>
    <row r="80" spans="1:7" s="303" customFormat="1" ht="13.2">
      <c r="A80" s="297"/>
      <c r="B80" s="319"/>
      <c r="C80" s="317" t="s">
        <v>1462</v>
      </c>
      <c r="D80" s="299"/>
      <c r="E80" s="300"/>
      <c r="F80" s="301"/>
      <c r="G80" s="302"/>
    </row>
    <row r="81" spans="1:7" ht="15">
      <c r="A81" s="304"/>
      <c r="B81" s="298"/>
      <c r="C81" s="304" t="s">
        <v>1464</v>
      </c>
      <c r="D81" s="305">
        <f>D79</f>
        <v>57</v>
      </c>
      <c r="E81" s="306" t="s">
        <v>306</v>
      </c>
      <c r="F81" s="307"/>
      <c r="G81" s="308">
        <f t="shared" si="6"/>
        <v>0</v>
      </c>
    </row>
    <row r="82" spans="1:7" s="303" customFormat="1" ht="13.2">
      <c r="A82" s="297" t="s">
        <v>1403</v>
      </c>
      <c r="B82" s="319"/>
      <c r="C82" s="297" t="s">
        <v>1465</v>
      </c>
      <c r="D82" s="299">
        <v>8</v>
      </c>
      <c r="E82" s="300" t="s">
        <v>306</v>
      </c>
      <c r="F82" s="301"/>
      <c r="G82" s="302">
        <f t="shared" si="6"/>
        <v>0</v>
      </c>
    </row>
    <row r="83" spans="1:7" s="303" customFormat="1" ht="13.2">
      <c r="A83" s="297"/>
      <c r="B83" s="319"/>
      <c r="C83" s="317" t="s">
        <v>1462</v>
      </c>
      <c r="D83" s="299"/>
      <c r="E83" s="300"/>
      <c r="F83" s="301"/>
      <c r="G83" s="302"/>
    </row>
    <row r="84" spans="1:7" ht="15">
      <c r="A84" s="304"/>
      <c r="B84" s="298"/>
      <c r="C84" s="304" t="s">
        <v>1466</v>
      </c>
      <c r="D84" s="305">
        <f>D82</f>
        <v>8</v>
      </c>
      <c r="E84" s="306" t="s">
        <v>306</v>
      </c>
      <c r="F84" s="307"/>
      <c r="G84" s="308">
        <f t="shared" si="6"/>
        <v>0</v>
      </c>
    </row>
    <row r="85" spans="1:7" s="303" customFormat="1" ht="13.2">
      <c r="A85" s="297" t="s">
        <v>1406</v>
      </c>
      <c r="B85" s="319"/>
      <c r="C85" s="297" t="s">
        <v>1467</v>
      </c>
      <c r="D85" s="299">
        <v>22</v>
      </c>
      <c r="E85" s="300" t="s">
        <v>306</v>
      </c>
      <c r="F85" s="301"/>
      <c r="G85" s="302">
        <f t="shared" si="6"/>
        <v>0</v>
      </c>
    </row>
    <row r="86" spans="1:7" s="303" customFormat="1" ht="13.2">
      <c r="A86" s="297"/>
      <c r="B86" s="319"/>
      <c r="C86" s="317" t="s">
        <v>1462</v>
      </c>
      <c r="D86" s="299"/>
      <c r="E86" s="300"/>
      <c r="F86" s="301"/>
      <c r="G86" s="302"/>
    </row>
    <row r="87" spans="1:7" ht="15">
      <c r="A87" s="304"/>
      <c r="B87" s="298"/>
      <c r="C87" s="304" t="s">
        <v>1466</v>
      </c>
      <c r="D87" s="305">
        <f>D85</f>
        <v>22</v>
      </c>
      <c r="E87" s="306" t="s">
        <v>306</v>
      </c>
      <c r="F87" s="307"/>
      <c r="G87" s="308">
        <f t="shared" si="6"/>
        <v>0</v>
      </c>
    </row>
    <row r="88" spans="1:7" s="303" customFormat="1" ht="13.2">
      <c r="A88" s="297" t="s">
        <v>1410</v>
      </c>
      <c r="B88" s="319"/>
      <c r="C88" s="297" t="s">
        <v>1468</v>
      </c>
      <c r="D88" s="299">
        <v>4</v>
      </c>
      <c r="E88" s="300" t="s">
        <v>306</v>
      </c>
      <c r="F88" s="301"/>
      <c r="G88" s="302">
        <f t="shared" si="6"/>
        <v>0</v>
      </c>
    </row>
    <row r="89" spans="1:7" s="303" customFormat="1" ht="13.2">
      <c r="A89" s="297"/>
      <c r="B89" s="319"/>
      <c r="C89" s="317" t="s">
        <v>1462</v>
      </c>
      <c r="D89" s="299"/>
      <c r="E89" s="300"/>
      <c r="F89" s="301"/>
      <c r="G89" s="302"/>
    </row>
    <row r="90" spans="1:7" ht="15">
      <c r="A90" s="304"/>
      <c r="B90" s="298"/>
      <c r="C90" s="304" t="s">
        <v>1464</v>
      </c>
      <c r="D90" s="305">
        <f>D88</f>
        <v>4</v>
      </c>
      <c r="E90" s="306" t="s">
        <v>306</v>
      </c>
      <c r="F90" s="307"/>
      <c r="G90" s="308">
        <f t="shared" si="6"/>
        <v>0</v>
      </c>
    </row>
    <row r="91" spans="1:7" s="303" customFormat="1" ht="13.2">
      <c r="A91" s="297" t="s">
        <v>1414</v>
      </c>
      <c r="B91" s="319"/>
      <c r="C91" s="297" t="s">
        <v>1469</v>
      </c>
      <c r="D91" s="299">
        <v>4</v>
      </c>
      <c r="E91" s="300" t="s">
        <v>306</v>
      </c>
      <c r="F91" s="301"/>
      <c r="G91" s="302">
        <f t="shared" si="6"/>
        <v>0</v>
      </c>
    </row>
    <row r="92" spans="1:7" s="303" customFormat="1" ht="13.2">
      <c r="A92" s="297"/>
      <c r="B92" s="319"/>
      <c r="C92" s="317" t="s">
        <v>1462</v>
      </c>
      <c r="D92" s="299"/>
      <c r="E92" s="300"/>
      <c r="F92" s="301"/>
      <c r="G92" s="302"/>
    </row>
    <row r="93" spans="1:7" ht="15">
      <c r="A93" s="304"/>
      <c r="B93" s="298"/>
      <c r="C93" s="304" t="s">
        <v>1470</v>
      </c>
      <c r="D93" s="305">
        <f>D91</f>
        <v>4</v>
      </c>
      <c r="E93" s="306" t="s">
        <v>306</v>
      </c>
      <c r="F93" s="307"/>
      <c r="G93" s="308">
        <f t="shared" si="6"/>
        <v>0</v>
      </c>
    </row>
    <row r="94" spans="1:7" s="303" customFormat="1" ht="13.2">
      <c r="A94" s="297" t="s">
        <v>1431</v>
      </c>
      <c r="B94" s="319"/>
      <c r="C94" s="297" t="s">
        <v>1471</v>
      </c>
      <c r="D94" s="299">
        <v>1</v>
      </c>
      <c r="E94" s="300" t="s">
        <v>306</v>
      </c>
      <c r="F94" s="301"/>
      <c r="G94" s="302">
        <f t="shared" si="6"/>
        <v>0</v>
      </c>
    </row>
    <row r="95" spans="1:7" s="303" customFormat="1" ht="13.2">
      <c r="A95" s="297"/>
      <c r="B95" s="319"/>
      <c r="C95" s="317" t="s">
        <v>1462</v>
      </c>
      <c r="D95" s="299"/>
      <c r="E95" s="300"/>
      <c r="F95" s="301"/>
      <c r="G95" s="302"/>
    </row>
    <row r="96" spans="1:7" ht="15">
      <c r="A96" s="304"/>
      <c r="B96" s="298">
        <v>210202013</v>
      </c>
      <c r="C96" s="304" t="s">
        <v>1460</v>
      </c>
      <c r="D96" s="305">
        <f>D94</f>
        <v>1</v>
      </c>
      <c r="E96" s="306" t="s">
        <v>306</v>
      </c>
      <c r="F96" s="307"/>
      <c r="G96" s="308">
        <f t="shared" si="6"/>
        <v>0</v>
      </c>
    </row>
    <row r="97" spans="1:7" s="303" customFormat="1" ht="13.2">
      <c r="A97" s="297" t="s">
        <v>1434</v>
      </c>
      <c r="B97" s="319"/>
      <c r="C97" s="297" t="s">
        <v>1472</v>
      </c>
      <c r="D97" s="299">
        <v>2</v>
      </c>
      <c r="E97" s="300" t="s">
        <v>306</v>
      </c>
      <c r="F97" s="301"/>
      <c r="G97" s="302">
        <f t="shared" si="6"/>
        <v>0</v>
      </c>
    </row>
    <row r="98" spans="1:7" s="303" customFormat="1" ht="13.2">
      <c r="A98" s="297"/>
      <c r="B98" s="319"/>
      <c r="C98" s="317" t="s">
        <v>1462</v>
      </c>
      <c r="D98" s="299"/>
      <c r="E98" s="300"/>
      <c r="F98" s="301"/>
      <c r="G98" s="302"/>
    </row>
    <row r="99" spans="1:7" ht="15">
      <c r="A99" s="304"/>
      <c r="B99" s="298"/>
      <c r="C99" s="304" t="s">
        <v>1470</v>
      </c>
      <c r="D99" s="305">
        <f>D97</f>
        <v>2</v>
      </c>
      <c r="E99" s="306" t="s">
        <v>306</v>
      </c>
      <c r="F99" s="307"/>
      <c r="G99" s="308">
        <f t="shared" si="6"/>
        <v>0</v>
      </c>
    </row>
    <row r="100" spans="1:7" s="303" customFormat="1" ht="13.2">
      <c r="A100" s="297" t="s">
        <v>1473</v>
      </c>
      <c r="B100" s="319"/>
      <c r="C100" s="297" t="s">
        <v>1474</v>
      </c>
      <c r="D100" s="299">
        <v>2</v>
      </c>
      <c r="E100" s="300" t="s">
        <v>306</v>
      </c>
      <c r="F100" s="301"/>
      <c r="G100" s="302">
        <f t="shared" si="6"/>
        <v>0</v>
      </c>
    </row>
    <row r="101" spans="1:7" s="303" customFormat="1" ht="13.2">
      <c r="A101" s="297"/>
      <c r="B101" s="319"/>
      <c r="C101" s="317" t="s">
        <v>1462</v>
      </c>
      <c r="D101" s="299"/>
      <c r="E101" s="300"/>
      <c r="F101" s="301"/>
      <c r="G101" s="302"/>
    </row>
    <row r="102" spans="1:7" ht="15">
      <c r="A102" s="304"/>
      <c r="B102" s="298">
        <v>210202016</v>
      </c>
      <c r="C102" s="304" t="s">
        <v>1475</v>
      </c>
      <c r="D102" s="305">
        <f>D100</f>
        <v>2</v>
      </c>
      <c r="E102" s="306" t="s">
        <v>306</v>
      </c>
      <c r="F102" s="307"/>
      <c r="G102" s="308">
        <f t="shared" si="6"/>
        <v>0</v>
      </c>
    </row>
    <row r="103" spans="1:7" s="303" customFormat="1" ht="13.2">
      <c r="A103" s="297" t="s">
        <v>1476</v>
      </c>
      <c r="B103" s="319"/>
      <c r="C103" s="297" t="s">
        <v>1477</v>
      </c>
      <c r="D103" s="299">
        <v>4</v>
      </c>
      <c r="E103" s="300" t="s">
        <v>306</v>
      </c>
      <c r="F103" s="301"/>
      <c r="G103" s="302">
        <f t="shared" si="6"/>
        <v>0</v>
      </c>
    </row>
    <row r="104" spans="1:7" s="303" customFormat="1" ht="13.2">
      <c r="A104" s="297"/>
      <c r="B104" s="319"/>
      <c r="C104" s="317" t="s">
        <v>1462</v>
      </c>
      <c r="D104" s="299"/>
      <c r="E104" s="300"/>
      <c r="F104" s="301"/>
      <c r="G104" s="302"/>
    </row>
    <row r="105" spans="1:7" ht="15">
      <c r="A105" s="304"/>
      <c r="B105" s="298">
        <v>210202013</v>
      </c>
      <c r="C105" s="304" t="s">
        <v>1460</v>
      </c>
      <c r="D105" s="305">
        <f>D103</f>
        <v>4</v>
      </c>
      <c r="E105" s="306" t="s">
        <v>306</v>
      </c>
      <c r="F105" s="307"/>
      <c r="G105" s="308">
        <f t="shared" si="6"/>
        <v>0</v>
      </c>
    </row>
    <row r="106" spans="1:7" s="303" customFormat="1" ht="13.2">
      <c r="A106" s="297" t="s">
        <v>1478</v>
      </c>
      <c r="B106" s="319"/>
      <c r="C106" s="297" t="s">
        <v>1479</v>
      </c>
      <c r="D106" s="299">
        <v>2</v>
      </c>
      <c r="E106" s="300" t="s">
        <v>306</v>
      </c>
      <c r="F106" s="301"/>
      <c r="G106" s="302">
        <f t="shared" si="6"/>
        <v>0</v>
      </c>
    </row>
    <row r="107" spans="1:7" s="303" customFormat="1" ht="13.2">
      <c r="A107" s="297"/>
      <c r="B107" s="319"/>
      <c r="C107" s="317" t="s">
        <v>1462</v>
      </c>
      <c r="D107" s="299"/>
      <c r="E107" s="300"/>
      <c r="F107" s="301"/>
      <c r="G107" s="302"/>
    </row>
    <row r="108" spans="1:7" ht="15">
      <c r="A108" s="304"/>
      <c r="B108" s="298"/>
      <c r="C108" s="304" t="s">
        <v>1470</v>
      </c>
      <c r="D108" s="305">
        <f>D106</f>
        <v>2</v>
      </c>
      <c r="E108" s="306" t="s">
        <v>306</v>
      </c>
      <c r="F108" s="307"/>
      <c r="G108" s="308">
        <f t="shared" si="6"/>
        <v>0</v>
      </c>
    </row>
    <row r="109" spans="1:7" s="303" customFormat="1" ht="13.2">
      <c r="A109" s="297" t="s">
        <v>1480</v>
      </c>
      <c r="B109" s="319"/>
      <c r="C109" s="297" t="s">
        <v>1481</v>
      </c>
      <c r="D109" s="299">
        <v>12</v>
      </c>
      <c r="E109" s="300" t="s">
        <v>306</v>
      </c>
      <c r="F109" s="301"/>
      <c r="G109" s="302">
        <f t="shared" si="6"/>
        <v>0</v>
      </c>
    </row>
    <row r="110" spans="1:7" s="303" customFormat="1" ht="13.2">
      <c r="A110" s="297"/>
      <c r="B110" s="319"/>
      <c r="C110" s="317" t="s">
        <v>1462</v>
      </c>
      <c r="D110" s="299"/>
      <c r="E110" s="300"/>
      <c r="F110" s="301"/>
      <c r="G110" s="302"/>
    </row>
    <row r="111" spans="1:7" ht="15">
      <c r="A111" s="304"/>
      <c r="B111" s="298"/>
      <c r="C111" s="304" t="s">
        <v>1470</v>
      </c>
      <c r="D111" s="305">
        <f>D109</f>
        <v>12</v>
      </c>
      <c r="E111" s="306" t="s">
        <v>306</v>
      </c>
      <c r="F111" s="307"/>
      <c r="G111" s="308">
        <f t="shared" si="6"/>
        <v>0</v>
      </c>
    </row>
    <row r="112" spans="1:7" s="303" customFormat="1" ht="13.2">
      <c r="A112" s="297" t="s">
        <v>1482</v>
      </c>
      <c r="B112" s="319"/>
      <c r="C112" s="297" t="s">
        <v>1483</v>
      </c>
      <c r="D112" s="299">
        <v>4</v>
      </c>
      <c r="E112" s="300" t="s">
        <v>306</v>
      </c>
      <c r="F112" s="301"/>
      <c r="G112" s="302">
        <f t="shared" si="6"/>
        <v>0</v>
      </c>
    </row>
    <row r="113" spans="1:7" s="303" customFormat="1" ht="13.2">
      <c r="A113" s="297"/>
      <c r="B113" s="319"/>
      <c r="C113" s="317" t="s">
        <v>1462</v>
      </c>
      <c r="D113" s="299"/>
      <c r="E113" s="300"/>
      <c r="F113" s="301"/>
      <c r="G113" s="302"/>
    </row>
    <row r="114" spans="1:7" ht="15">
      <c r="A114" s="304"/>
      <c r="B114" s="298"/>
      <c r="C114" s="304" t="s">
        <v>1484</v>
      </c>
      <c r="D114" s="305">
        <f>D112</f>
        <v>4</v>
      </c>
      <c r="E114" s="306" t="s">
        <v>306</v>
      </c>
      <c r="F114" s="307"/>
      <c r="G114" s="308">
        <f t="shared" si="6"/>
        <v>0</v>
      </c>
    </row>
    <row r="115" spans="1:7" s="303" customFormat="1" ht="13.2">
      <c r="A115" s="297" t="s">
        <v>1485</v>
      </c>
      <c r="B115" s="319"/>
      <c r="C115" s="297" t="s">
        <v>1486</v>
      </c>
      <c r="D115" s="299">
        <v>6</v>
      </c>
      <c r="E115" s="300" t="s">
        <v>306</v>
      </c>
      <c r="F115" s="301"/>
      <c r="G115" s="302">
        <f t="shared" si="6"/>
        <v>0</v>
      </c>
    </row>
    <row r="116" spans="1:7" ht="15">
      <c r="A116" s="304"/>
      <c r="B116" s="298">
        <v>210204011</v>
      </c>
      <c r="C116" s="304" t="s">
        <v>1487</v>
      </c>
      <c r="D116" s="305">
        <f>D115</f>
        <v>6</v>
      </c>
      <c r="E116" s="306" t="s">
        <v>306</v>
      </c>
      <c r="F116" s="307"/>
      <c r="G116" s="308">
        <f t="shared" si="6"/>
        <v>0</v>
      </c>
    </row>
    <row r="117" spans="1:8" s="321" customFormat="1" ht="15">
      <c r="A117" s="297" t="s">
        <v>1488</v>
      </c>
      <c r="B117" s="319"/>
      <c r="C117" s="297" t="s">
        <v>1489</v>
      </c>
      <c r="D117" s="299">
        <v>13</v>
      </c>
      <c r="E117" s="300" t="s">
        <v>306</v>
      </c>
      <c r="F117" s="301"/>
      <c r="G117" s="302">
        <f t="shared" si="6"/>
        <v>0</v>
      </c>
      <c r="H117" s="320"/>
    </row>
    <row r="118" spans="1:7" ht="15">
      <c r="A118" s="304"/>
      <c r="B118" s="298">
        <v>210204105</v>
      </c>
      <c r="C118" s="304" t="s">
        <v>1490</v>
      </c>
      <c r="D118" s="305">
        <f>D117</f>
        <v>13</v>
      </c>
      <c r="E118" s="306" t="s">
        <v>306</v>
      </c>
      <c r="F118" s="307"/>
      <c r="G118" s="308">
        <f t="shared" si="6"/>
        <v>0</v>
      </c>
    </row>
    <row r="119" spans="1:7" s="321" customFormat="1" ht="15">
      <c r="A119" s="297" t="s">
        <v>1491</v>
      </c>
      <c r="B119" s="319"/>
      <c r="C119" s="297" t="s">
        <v>1492</v>
      </c>
      <c r="D119" s="299">
        <v>6</v>
      </c>
      <c r="E119" s="300" t="s">
        <v>306</v>
      </c>
      <c r="F119" s="301"/>
      <c r="G119" s="302">
        <f t="shared" si="6"/>
        <v>0</v>
      </c>
    </row>
    <row r="120" spans="1:7" ht="15">
      <c r="A120" s="304"/>
      <c r="B120" s="298"/>
      <c r="C120" s="304" t="s">
        <v>1493</v>
      </c>
      <c r="D120" s="305">
        <f>D119</f>
        <v>6</v>
      </c>
      <c r="E120" s="306" t="s">
        <v>306</v>
      </c>
      <c r="F120" s="307"/>
      <c r="G120" s="308">
        <f t="shared" si="6"/>
        <v>0</v>
      </c>
    </row>
    <row r="121" spans="1:7" ht="26.4">
      <c r="A121" s="304" t="s">
        <v>1494</v>
      </c>
      <c r="B121" s="298"/>
      <c r="C121" s="304" t="s">
        <v>1495</v>
      </c>
      <c r="D121" s="312">
        <v>6</v>
      </c>
      <c r="E121" s="313" t="s">
        <v>919</v>
      </c>
      <c r="F121" s="307"/>
      <c r="G121" s="308">
        <f t="shared" si="6"/>
        <v>0</v>
      </c>
    </row>
    <row r="122" spans="1:7" ht="15">
      <c r="A122" s="304" t="s">
        <v>1496</v>
      </c>
      <c r="B122" s="298"/>
      <c r="C122" s="322" t="s">
        <v>1497</v>
      </c>
      <c r="D122" s="323">
        <v>1</v>
      </c>
      <c r="E122" s="313" t="s">
        <v>919</v>
      </c>
      <c r="F122" s="324"/>
      <c r="G122" s="308">
        <f t="shared" si="6"/>
        <v>0</v>
      </c>
    </row>
    <row r="123" spans="1:7" ht="15">
      <c r="A123" s="304"/>
      <c r="B123" s="298"/>
      <c r="C123" s="322"/>
      <c r="D123" s="325"/>
      <c r="E123" s="326"/>
      <c r="F123" s="324"/>
      <c r="G123" s="327"/>
    </row>
    <row r="124" spans="1:7" ht="15">
      <c r="A124" s="291"/>
      <c r="B124" s="292"/>
      <c r="C124" s="293" t="s">
        <v>1498</v>
      </c>
      <c r="D124" s="294"/>
      <c r="E124" s="291"/>
      <c r="F124" s="295"/>
      <c r="G124" s="296">
        <f>SUM(G125:G133)</f>
        <v>0</v>
      </c>
    </row>
    <row r="125" spans="1:7" ht="15">
      <c r="A125" s="304" t="s">
        <v>1393</v>
      </c>
      <c r="B125" s="298">
        <v>741372803</v>
      </c>
      <c r="C125" s="304" t="s">
        <v>1499</v>
      </c>
      <c r="D125" s="305">
        <v>52</v>
      </c>
      <c r="E125" s="306" t="s">
        <v>306</v>
      </c>
      <c r="F125" s="307"/>
      <c r="G125" s="308">
        <f aca="true" t="shared" si="7" ref="G125:G132">D125*F125</f>
        <v>0</v>
      </c>
    </row>
    <row r="126" spans="1:7" ht="15">
      <c r="A126" s="304" t="s">
        <v>1399</v>
      </c>
      <c r="B126" s="298">
        <v>741211823</v>
      </c>
      <c r="C126" s="304" t="s">
        <v>1500</v>
      </c>
      <c r="D126" s="305">
        <v>1</v>
      </c>
      <c r="E126" s="306" t="s">
        <v>306</v>
      </c>
      <c r="F126" s="307"/>
      <c r="G126" s="308">
        <f t="shared" si="7"/>
        <v>0</v>
      </c>
    </row>
    <row r="127" spans="1:7" ht="15">
      <c r="A127" s="304" t="s">
        <v>1401</v>
      </c>
      <c r="B127" s="298"/>
      <c r="C127" s="304" t="s">
        <v>1501</v>
      </c>
      <c r="D127" s="305">
        <v>1</v>
      </c>
      <c r="E127" s="306" t="s">
        <v>919</v>
      </c>
      <c r="F127" s="307"/>
      <c r="G127" s="308">
        <f t="shared" si="7"/>
        <v>0</v>
      </c>
    </row>
    <row r="128" spans="1:7" ht="15">
      <c r="A128" s="304" t="s">
        <v>1403</v>
      </c>
      <c r="B128" s="298"/>
      <c r="C128" s="304" t="s">
        <v>1502</v>
      </c>
      <c r="D128" s="305">
        <v>1</v>
      </c>
      <c r="E128" s="306" t="s">
        <v>919</v>
      </c>
      <c r="F128" s="307"/>
      <c r="G128" s="308">
        <f t="shared" si="7"/>
        <v>0</v>
      </c>
    </row>
    <row r="129" spans="1:7" ht="15">
      <c r="A129" s="304" t="s">
        <v>1406</v>
      </c>
      <c r="B129" s="298"/>
      <c r="C129" s="304" t="s">
        <v>1503</v>
      </c>
      <c r="D129" s="305">
        <v>2</v>
      </c>
      <c r="E129" s="306" t="s">
        <v>919</v>
      </c>
      <c r="F129" s="307"/>
      <c r="G129" s="308">
        <f t="shared" si="7"/>
        <v>0</v>
      </c>
    </row>
    <row r="130" spans="1:7" ht="15">
      <c r="A130" s="304" t="s">
        <v>1410</v>
      </c>
      <c r="B130" s="298"/>
      <c r="C130" s="304" t="s">
        <v>1504</v>
      </c>
      <c r="D130" s="305">
        <v>1</v>
      </c>
      <c r="E130" s="306" t="s">
        <v>919</v>
      </c>
      <c r="F130" s="307"/>
      <c r="G130" s="308">
        <f t="shared" si="7"/>
        <v>0</v>
      </c>
    </row>
    <row r="131" spans="1:7" ht="15">
      <c r="A131" s="304" t="s">
        <v>1414</v>
      </c>
      <c r="B131" s="298"/>
      <c r="C131" s="304" t="s">
        <v>1505</v>
      </c>
      <c r="D131" s="305">
        <v>1</v>
      </c>
      <c r="E131" s="306" t="s">
        <v>919</v>
      </c>
      <c r="F131" s="307"/>
      <c r="G131" s="308">
        <f t="shared" si="7"/>
        <v>0</v>
      </c>
    </row>
    <row r="132" spans="1:7" ht="15">
      <c r="A132" s="304" t="s">
        <v>1431</v>
      </c>
      <c r="B132" s="298"/>
      <c r="C132" s="304" t="s">
        <v>1506</v>
      </c>
      <c r="D132" s="305">
        <v>1</v>
      </c>
      <c r="E132" s="306" t="s">
        <v>919</v>
      </c>
      <c r="F132" s="307"/>
      <c r="G132" s="308">
        <f t="shared" si="7"/>
        <v>0</v>
      </c>
    </row>
    <row r="133" spans="1:7" ht="15">
      <c r="A133" s="304"/>
      <c r="B133" s="298"/>
      <c r="C133" s="322"/>
      <c r="D133" s="325"/>
      <c r="E133" s="326"/>
      <c r="F133" s="324"/>
      <c r="G133" s="327"/>
    </row>
    <row r="134" spans="1:7" ht="15">
      <c r="A134" s="291"/>
      <c r="B134" s="292"/>
      <c r="C134" s="310" t="s">
        <v>1507</v>
      </c>
      <c r="D134" s="294"/>
      <c r="E134" s="311"/>
      <c r="F134" s="295"/>
      <c r="G134" s="296">
        <f>SUM(G135:G155)</f>
        <v>0</v>
      </c>
    </row>
    <row r="135" spans="1:8" ht="15">
      <c r="A135" s="297" t="s">
        <v>1393</v>
      </c>
      <c r="B135" s="298"/>
      <c r="C135" s="297" t="s">
        <v>1508</v>
      </c>
      <c r="D135" s="299">
        <v>12.8</v>
      </c>
      <c r="E135" s="300" t="s">
        <v>253</v>
      </c>
      <c r="F135" s="301"/>
      <c r="G135" s="302">
        <f>D135*F135</f>
        <v>0</v>
      </c>
      <c r="H135" s="320"/>
    </row>
    <row r="136" spans="1:8" s="318" customFormat="1" ht="15">
      <c r="A136" s="304" t="s">
        <v>1399</v>
      </c>
      <c r="B136" s="298">
        <v>460080012</v>
      </c>
      <c r="C136" s="304" t="s">
        <v>1509</v>
      </c>
      <c r="D136" s="309">
        <v>6</v>
      </c>
      <c r="E136" s="316" t="s">
        <v>253</v>
      </c>
      <c r="F136" s="307"/>
      <c r="G136" s="308">
        <f>D136*F136</f>
        <v>0</v>
      </c>
      <c r="H136" s="328"/>
    </row>
    <row r="137" spans="1:8" s="318" customFormat="1" ht="15">
      <c r="A137" s="304" t="s">
        <v>1401</v>
      </c>
      <c r="B137" s="298">
        <v>460010023</v>
      </c>
      <c r="C137" s="304" t="s">
        <v>1510</v>
      </c>
      <c r="D137" s="309">
        <f>SUM(D139:D142)/1000</f>
        <v>0.964</v>
      </c>
      <c r="E137" s="316" t="s">
        <v>337</v>
      </c>
      <c r="F137" s="307"/>
      <c r="G137" s="308">
        <f>D137*F137</f>
        <v>0</v>
      </c>
      <c r="H137" s="329"/>
    </row>
    <row r="138" spans="1:8" s="314" customFormat="1" ht="39.6">
      <c r="A138" s="304" t="s">
        <v>1403</v>
      </c>
      <c r="B138" s="298">
        <v>460050813</v>
      </c>
      <c r="C138" s="304" t="s">
        <v>1511</v>
      </c>
      <c r="D138" s="309">
        <v>6</v>
      </c>
      <c r="E138" s="316" t="s">
        <v>306</v>
      </c>
      <c r="F138" s="307"/>
      <c r="G138" s="308">
        <f aca="true" t="shared" si="8" ref="G138:G142">D138*F138</f>
        <v>0</v>
      </c>
      <c r="H138" s="329"/>
    </row>
    <row r="139" spans="1:8" s="318" customFormat="1" ht="26.4">
      <c r="A139" s="304" t="s">
        <v>1406</v>
      </c>
      <c r="B139" s="298">
        <v>460202113</v>
      </c>
      <c r="C139" s="304" t="s">
        <v>1512</v>
      </c>
      <c r="D139" s="309">
        <v>332</v>
      </c>
      <c r="E139" s="316" t="s">
        <v>209</v>
      </c>
      <c r="F139" s="307"/>
      <c r="G139" s="308">
        <f t="shared" si="8"/>
        <v>0</v>
      </c>
      <c r="H139" s="329"/>
    </row>
    <row r="140" spans="1:8" s="314" customFormat="1" ht="26.4">
      <c r="A140" s="304" t="s">
        <v>1410</v>
      </c>
      <c r="B140" s="298">
        <v>460202163</v>
      </c>
      <c r="C140" s="304" t="s">
        <v>1513</v>
      </c>
      <c r="D140" s="309">
        <v>298</v>
      </c>
      <c r="E140" s="316" t="s">
        <v>209</v>
      </c>
      <c r="F140" s="307"/>
      <c r="G140" s="308">
        <f t="shared" si="8"/>
        <v>0</v>
      </c>
      <c r="H140" s="329"/>
    </row>
    <row r="141" spans="1:8" s="314" customFormat="1" ht="26.4">
      <c r="A141" s="304" t="s">
        <v>1414</v>
      </c>
      <c r="B141" s="298">
        <v>460202213</v>
      </c>
      <c r="C141" s="304" t="s">
        <v>1514</v>
      </c>
      <c r="D141" s="309">
        <v>289</v>
      </c>
      <c r="E141" s="316" t="s">
        <v>209</v>
      </c>
      <c r="F141" s="307"/>
      <c r="G141" s="308">
        <f t="shared" si="8"/>
        <v>0</v>
      </c>
      <c r="H141" s="329"/>
    </row>
    <row r="142" spans="1:8" s="314" customFormat="1" ht="26.4">
      <c r="A142" s="304" t="s">
        <v>1431</v>
      </c>
      <c r="B142" s="298">
        <v>460202263</v>
      </c>
      <c r="C142" s="304" t="s">
        <v>1515</v>
      </c>
      <c r="D142" s="309">
        <v>45</v>
      </c>
      <c r="E142" s="316" t="s">
        <v>209</v>
      </c>
      <c r="F142" s="307"/>
      <c r="G142" s="308">
        <f t="shared" si="8"/>
        <v>0</v>
      </c>
      <c r="H142" s="329"/>
    </row>
    <row r="143" spans="1:8" ht="15">
      <c r="A143" s="297" t="s">
        <v>1434</v>
      </c>
      <c r="B143" s="298"/>
      <c r="C143" s="297" t="s">
        <v>1516</v>
      </c>
      <c r="D143" s="299">
        <f>SUM(D139:D142)</f>
        <v>964</v>
      </c>
      <c r="E143" s="300" t="s">
        <v>209</v>
      </c>
      <c r="F143" s="301"/>
      <c r="G143" s="302">
        <f>D143*F143</f>
        <v>0</v>
      </c>
      <c r="H143" s="320"/>
    </row>
    <row r="144" spans="1:8" s="314" customFormat="1" ht="26.4">
      <c r="A144" s="304"/>
      <c r="B144" s="298">
        <v>460490013</v>
      </c>
      <c r="C144" s="304" t="s">
        <v>1517</v>
      </c>
      <c r="D144" s="309">
        <f>D143</f>
        <v>964</v>
      </c>
      <c r="E144" s="316" t="s">
        <v>209</v>
      </c>
      <c r="F144" s="307"/>
      <c r="G144" s="308">
        <f>D144*F144</f>
        <v>0</v>
      </c>
      <c r="H144" s="329"/>
    </row>
    <row r="145" spans="1:8" ht="15">
      <c r="A145" s="297" t="s">
        <v>1473</v>
      </c>
      <c r="B145" s="298"/>
      <c r="C145" s="297" t="s">
        <v>1518</v>
      </c>
      <c r="D145" s="299">
        <v>77.5</v>
      </c>
      <c r="E145" s="300" t="s">
        <v>253</v>
      </c>
      <c r="F145" s="301"/>
      <c r="G145" s="302">
        <f>D145*F145</f>
        <v>0</v>
      </c>
      <c r="H145" s="320"/>
    </row>
    <row r="146" spans="1:8" s="314" customFormat="1" ht="26.4">
      <c r="A146" s="304" t="s">
        <v>1476</v>
      </c>
      <c r="B146" s="298">
        <v>460421082</v>
      </c>
      <c r="C146" s="304" t="s">
        <v>1519</v>
      </c>
      <c r="D146" s="309">
        <f>D139+D140+D141+D142</f>
        <v>964</v>
      </c>
      <c r="E146" s="316" t="s">
        <v>209</v>
      </c>
      <c r="F146" s="307"/>
      <c r="G146" s="308">
        <f>D146*F146</f>
        <v>0</v>
      </c>
      <c r="H146" s="329"/>
    </row>
    <row r="147" spans="1:8" s="318" customFormat="1" ht="26.4">
      <c r="A147" s="304" t="s">
        <v>1478</v>
      </c>
      <c r="B147" s="298">
        <v>460560113</v>
      </c>
      <c r="C147" s="304" t="s">
        <v>1520</v>
      </c>
      <c r="D147" s="309">
        <f aca="true" t="shared" si="9" ref="D147:D150">D139</f>
        <v>332</v>
      </c>
      <c r="E147" s="316" t="s">
        <v>209</v>
      </c>
      <c r="F147" s="307"/>
      <c r="G147" s="308">
        <f aca="true" t="shared" si="10" ref="G147:G154">D147*F147</f>
        <v>0</v>
      </c>
      <c r="H147" s="329"/>
    </row>
    <row r="148" spans="1:8" s="314" customFormat="1" ht="26.4">
      <c r="A148" s="304" t="s">
        <v>1480</v>
      </c>
      <c r="B148" s="298">
        <v>460560163</v>
      </c>
      <c r="C148" s="304" t="s">
        <v>1521</v>
      </c>
      <c r="D148" s="309">
        <f t="shared" si="9"/>
        <v>298</v>
      </c>
      <c r="E148" s="316" t="s">
        <v>209</v>
      </c>
      <c r="F148" s="307"/>
      <c r="G148" s="308">
        <f t="shared" si="10"/>
        <v>0</v>
      </c>
      <c r="H148" s="329"/>
    </row>
    <row r="149" spans="1:8" s="314" customFormat="1" ht="26.4">
      <c r="A149" s="304" t="s">
        <v>1482</v>
      </c>
      <c r="B149" s="298">
        <v>460560213</v>
      </c>
      <c r="C149" s="304" t="s">
        <v>1522</v>
      </c>
      <c r="D149" s="309">
        <f t="shared" si="9"/>
        <v>289</v>
      </c>
      <c r="E149" s="316" t="s">
        <v>209</v>
      </c>
      <c r="F149" s="307"/>
      <c r="G149" s="308">
        <f t="shared" si="10"/>
        <v>0</v>
      </c>
      <c r="H149" s="329"/>
    </row>
    <row r="150" spans="1:8" s="314" customFormat="1" ht="26.4">
      <c r="A150" s="304" t="s">
        <v>1485</v>
      </c>
      <c r="B150" s="298">
        <v>460560263</v>
      </c>
      <c r="C150" s="304" t="s">
        <v>1523</v>
      </c>
      <c r="D150" s="309">
        <f t="shared" si="9"/>
        <v>45</v>
      </c>
      <c r="E150" s="316" t="s">
        <v>209</v>
      </c>
      <c r="F150" s="307"/>
      <c r="G150" s="308">
        <f t="shared" si="10"/>
        <v>0</v>
      </c>
      <c r="H150" s="329"/>
    </row>
    <row r="151" spans="1:8" s="318" customFormat="1" ht="15">
      <c r="A151" s="304" t="s">
        <v>1488</v>
      </c>
      <c r="B151" s="298">
        <v>460600061</v>
      </c>
      <c r="C151" s="304" t="s">
        <v>1524</v>
      </c>
      <c r="D151" s="309">
        <v>107</v>
      </c>
      <c r="E151" s="316" t="s">
        <v>1525</v>
      </c>
      <c r="F151" s="307"/>
      <c r="G151" s="308">
        <f t="shared" si="10"/>
        <v>0</v>
      </c>
      <c r="H151" s="329"/>
    </row>
    <row r="152" spans="1:8" s="318" customFormat="1" ht="26.4">
      <c r="A152" s="304" t="s">
        <v>1491</v>
      </c>
      <c r="B152" s="298">
        <v>460600071</v>
      </c>
      <c r="C152" s="304" t="s">
        <v>1526</v>
      </c>
      <c r="D152" s="309">
        <f>D151</f>
        <v>107</v>
      </c>
      <c r="E152" s="316" t="s">
        <v>1525</v>
      </c>
      <c r="F152" s="307"/>
      <c r="G152" s="308">
        <f t="shared" si="10"/>
        <v>0</v>
      </c>
      <c r="H152" s="329"/>
    </row>
    <row r="153" spans="1:8" s="318" customFormat="1" ht="26.4">
      <c r="A153" s="304" t="s">
        <v>1494</v>
      </c>
      <c r="B153" s="298">
        <v>460620013</v>
      </c>
      <c r="C153" s="304" t="s">
        <v>1527</v>
      </c>
      <c r="D153" s="309">
        <v>386</v>
      </c>
      <c r="E153" s="316" t="s">
        <v>109</v>
      </c>
      <c r="F153" s="307"/>
      <c r="G153" s="308">
        <f t="shared" si="10"/>
        <v>0</v>
      </c>
      <c r="H153" s="329"/>
    </row>
    <row r="154" spans="1:8" s="318" customFormat="1" ht="28.8">
      <c r="A154" s="304" t="s">
        <v>1496</v>
      </c>
      <c r="B154" s="298">
        <v>997221855</v>
      </c>
      <c r="C154" s="330" t="s">
        <v>1528</v>
      </c>
      <c r="D154" s="309">
        <f>D151</f>
        <v>107</v>
      </c>
      <c r="E154" s="316" t="s">
        <v>1525</v>
      </c>
      <c r="F154" s="307"/>
      <c r="G154" s="308">
        <f t="shared" si="10"/>
        <v>0</v>
      </c>
      <c r="H154" s="329"/>
    </row>
    <row r="155" spans="1:8" ht="15">
      <c r="A155" s="304"/>
      <c r="B155" s="298"/>
      <c r="C155" s="331"/>
      <c r="D155" s="309"/>
      <c r="E155" s="306"/>
      <c r="F155" s="307"/>
      <c r="G155" s="308"/>
      <c r="H155" s="320"/>
    </row>
    <row r="156" spans="1:7" ht="15">
      <c r="A156" s="291"/>
      <c r="B156" s="292"/>
      <c r="C156" s="310" t="s">
        <v>1529</v>
      </c>
      <c r="D156" s="332"/>
      <c r="E156" s="311"/>
      <c r="F156" s="295"/>
      <c r="G156" s="296">
        <f>SUM(G157:G167)</f>
        <v>0</v>
      </c>
    </row>
    <row r="157" spans="1:8" ht="26.4">
      <c r="A157" s="304" t="s">
        <v>1393</v>
      </c>
      <c r="B157" s="298">
        <v>741810003</v>
      </c>
      <c r="C157" s="304" t="s">
        <v>1530</v>
      </c>
      <c r="D157" s="312">
        <v>1</v>
      </c>
      <c r="E157" s="313" t="s">
        <v>919</v>
      </c>
      <c r="F157" s="307"/>
      <c r="G157" s="308">
        <f aca="true" t="shared" si="11" ref="G157:G166">D157*F157</f>
        <v>0</v>
      </c>
      <c r="H157" s="320"/>
    </row>
    <row r="158" spans="1:8" ht="26.4">
      <c r="A158" s="304" t="s">
        <v>1399</v>
      </c>
      <c r="B158" s="298">
        <v>741810011</v>
      </c>
      <c r="C158" s="304" t="s">
        <v>1531</v>
      </c>
      <c r="D158" s="312">
        <v>6</v>
      </c>
      <c r="E158" s="313" t="s">
        <v>919</v>
      </c>
      <c r="F158" s="307"/>
      <c r="G158" s="308">
        <f>D158*F158</f>
        <v>0</v>
      </c>
      <c r="H158" s="320"/>
    </row>
    <row r="159" spans="1:8" ht="15">
      <c r="A159" s="304" t="s">
        <v>1401</v>
      </c>
      <c r="B159" s="298"/>
      <c r="C159" s="304" t="s">
        <v>1532</v>
      </c>
      <c r="D159" s="312">
        <v>1</v>
      </c>
      <c r="E159" s="313" t="s">
        <v>919</v>
      </c>
      <c r="F159" s="307"/>
      <c r="G159" s="308">
        <f t="shared" si="11"/>
        <v>0</v>
      </c>
      <c r="H159" s="320"/>
    </row>
    <row r="160" spans="1:8" ht="15">
      <c r="A160" s="304" t="s">
        <v>1403</v>
      </c>
      <c r="B160" s="333" t="s">
        <v>1533</v>
      </c>
      <c r="C160" s="304" t="s">
        <v>1534</v>
      </c>
      <c r="D160" s="312">
        <v>1</v>
      </c>
      <c r="E160" s="313" t="s">
        <v>919</v>
      </c>
      <c r="F160" s="307"/>
      <c r="G160" s="308">
        <f t="shared" si="11"/>
        <v>0</v>
      </c>
      <c r="H160" s="320"/>
    </row>
    <row r="161" spans="1:8" ht="15">
      <c r="A161" s="304" t="s">
        <v>1406</v>
      </c>
      <c r="B161" s="333" t="s">
        <v>1535</v>
      </c>
      <c r="C161" s="304" t="s">
        <v>1536</v>
      </c>
      <c r="D161" s="312">
        <v>1</v>
      </c>
      <c r="E161" s="313" t="s">
        <v>919</v>
      </c>
      <c r="F161" s="307"/>
      <c r="G161" s="308">
        <f t="shared" si="11"/>
        <v>0</v>
      </c>
      <c r="H161" s="320"/>
    </row>
    <row r="162" spans="1:8" s="321" customFormat="1" ht="15">
      <c r="A162" s="297" t="s">
        <v>1410</v>
      </c>
      <c r="B162" s="298"/>
      <c r="C162" s="297" t="s">
        <v>1537</v>
      </c>
      <c r="D162" s="299">
        <v>1</v>
      </c>
      <c r="E162" s="300" t="s">
        <v>919</v>
      </c>
      <c r="F162" s="301"/>
      <c r="G162" s="334">
        <f t="shared" si="11"/>
        <v>0</v>
      </c>
      <c r="H162" s="320"/>
    </row>
    <row r="163" spans="1:8" ht="15">
      <c r="A163" s="304" t="s">
        <v>1431</v>
      </c>
      <c r="B163" s="298"/>
      <c r="C163" s="304" t="s">
        <v>1538</v>
      </c>
      <c r="D163" s="312">
        <v>1</v>
      </c>
      <c r="E163" s="313" t="s">
        <v>919</v>
      </c>
      <c r="F163" s="307"/>
      <c r="G163" s="308">
        <f t="shared" si="11"/>
        <v>0</v>
      </c>
      <c r="H163" s="320"/>
    </row>
    <row r="164" spans="1:8" ht="15">
      <c r="A164" s="304"/>
      <c r="B164" s="298"/>
      <c r="C164" s="304" t="s">
        <v>1539</v>
      </c>
      <c r="D164" s="312">
        <v>1</v>
      </c>
      <c r="E164" s="313" t="s">
        <v>919</v>
      </c>
      <c r="F164" s="307"/>
      <c r="G164" s="308">
        <f t="shared" si="11"/>
        <v>0</v>
      </c>
      <c r="H164" s="320"/>
    </row>
    <row r="165" spans="1:8" ht="15">
      <c r="A165" s="304"/>
      <c r="B165" s="298"/>
      <c r="C165" s="304" t="s">
        <v>1540</v>
      </c>
      <c r="D165" s="312">
        <v>1</v>
      </c>
      <c r="E165" s="313" t="s">
        <v>919</v>
      </c>
      <c r="F165" s="307"/>
      <c r="G165" s="308">
        <f t="shared" si="11"/>
        <v>0</v>
      </c>
      <c r="H165" s="320"/>
    </row>
    <row r="166" spans="1:8" ht="15">
      <c r="A166" s="304" t="s">
        <v>1434</v>
      </c>
      <c r="B166" s="333" t="s">
        <v>1541</v>
      </c>
      <c r="C166" s="304" t="s">
        <v>1542</v>
      </c>
      <c r="D166" s="312">
        <v>1</v>
      </c>
      <c r="E166" s="313" t="s">
        <v>919</v>
      </c>
      <c r="F166" s="307"/>
      <c r="G166" s="308">
        <f t="shared" si="11"/>
        <v>0</v>
      </c>
      <c r="H166" s="320"/>
    </row>
    <row r="167" spans="1:7" ht="15" thickBot="1">
      <c r="A167" s="304"/>
      <c r="B167" s="298"/>
      <c r="C167" s="304"/>
      <c r="D167" s="305"/>
      <c r="E167" s="305"/>
      <c r="F167" s="335"/>
      <c r="G167" s="336"/>
    </row>
    <row r="168" spans="1:7" s="342" customFormat="1" ht="23.25" customHeight="1" thickBot="1">
      <c r="A168" s="337"/>
      <c r="B168" s="338"/>
      <c r="C168" s="339" t="s">
        <v>1543</v>
      </c>
      <c r="D168" s="338"/>
      <c r="E168" s="339"/>
      <c r="F168" s="340"/>
      <c r="G168" s="341">
        <f>G4+G26+G46+G56+G62+G72+G124+G134+G156</f>
        <v>0</v>
      </c>
    </row>
    <row r="170" ht="15" thickBot="1"/>
    <row r="171" spans="1:7" s="347" customFormat="1" ht="54.75" customHeight="1" thickBot="1">
      <c r="A171" s="844" t="s">
        <v>1544</v>
      </c>
      <c r="B171" s="845"/>
      <c r="C171" s="845"/>
      <c r="D171" s="845"/>
      <c r="E171" s="845"/>
      <c r="F171" s="845"/>
      <c r="G171" s="346"/>
    </row>
    <row r="173" spans="1:7" ht="15">
      <c r="A173" s="291"/>
      <c r="B173" s="292"/>
      <c r="C173" s="293" t="s">
        <v>1545</v>
      </c>
      <c r="D173" s="332"/>
      <c r="E173" s="291"/>
      <c r="F173" s="348"/>
      <c r="G173" s="348">
        <f>SUM(G174:G187)</f>
        <v>0</v>
      </c>
    </row>
    <row r="174" spans="1:8" s="318" customFormat="1" ht="15">
      <c r="A174" s="304" t="s">
        <v>1393</v>
      </c>
      <c r="B174" s="298">
        <v>460010023</v>
      </c>
      <c r="C174" s="304" t="s">
        <v>1510</v>
      </c>
      <c r="D174" s="309">
        <f>SUM(D175:D176)/1000</f>
        <v>0.248</v>
      </c>
      <c r="E174" s="316" t="s">
        <v>337</v>
      </c>
      <c r="F174" s="307"/>
      <c r="G174" s="308">
        <f aca="true" t="shared" si="12" ref="G174:G176">D174*F174</f>
        <v>0</v>
      </c>
      <c r="H174" s="329"/>
    </row>
    <row r="175" spans="1:8" s="314" customFormat="1" ht="39.6">
      <c r="A175" s="304" t="s">
        <v>1399</v>
      </c>
      <c r="B175" s="298">
        <v>460150213</v>
      </c>
      <c r="C175" s="304" t="s">
        <v>1546</v>
      </c>
      <c r="D175" s="309">
        <v>55</v>
      </c>
      <c r="E175" s="316" t="s">
        <v>209</v>
      </c>
      <c r="F175" s="307"/>
      <c r="G175" s="308">
        <f t="shared" si="12"/>
        <v>0</v>
      </c>
      <c r="H175" s="329"/>
    </row>
    <row r="176" spans="1:8" s="314" customFormat="1" ht="39.6">
      <c r="A176" s="304" t="s">
        <v>1401</v>
      </c>
      <c r="B176" s="298">
        <v>460150263</v>
      </c>
      <c r="C176" s="304" t="s">
        <v>1547</v>
      </c>
      <c r="D176" s="309">
        <v>193</v>
      </c>
      <c r="E176" s="316" t="s">
        <v>209</v>
      </c>
      <c r="F176" s="307"/>
      <c r="G176" s="308">
        <f t="shared" si="12"/>
        <v>0</v>
      </c>
      <c r="H176" s="329"/>
    </row>
    <row r="177" spans="1:8" ht="15">
      <c r="A177" s="297" t="s">
        <v>1406</v>
      </c>
      <c r="B177" s="298"/>
      <c r="C177" s="297" t="s">
        <v>1516</v>
      </c>
      <c r="D177" s="299">
        <f>SUM(D175:D176)</f>
        <v>248</v>
      </c>
      <c r="E177" s="300" t="s">
        <v>209</v>
      </c>
      <c r="F177" s="301"/>
      <c r="G177" s="302">
        <f>D177*F177</f>
        <v>0</v>
      </c>
      <c r="H177" s="320"/>
    </row>
    <row r="178" spans="1:8" s="314" customFormat="1" ht="26.4">
      <c r="A178" s="304"/>
      <c r="B178" s="298">
        <v>460490013</v>
      </c>
      <c r="C178" s="304" t="s">
        <v>1517</v>
      </c>
      <c r="D178" s="309">
        <f>D177</f>
        <v>248</v>
      </c>
      <c r="E178" s="316" t="s">
        <v>209</v>
      </c>
      <c r="F178" s="307"/>
      <c r="G178" s="308">
        <f aca="true" t="shared" si="13" ref="G178">D178*F178</f>
        <v>0</v>
      </c>
      <c r="H178" s="329"/>
    </row>
    <row r="179" spans="1:8" ht="15">
      <c r="A179" s="297" t="s">
        <v>1410</v>
      </c>
      <c r="B179" s="298"/>
      <c r="C179" s="297" t="s">
        <v>1518</v>
      </c>
      <c r="D179" s="299">
        <v>24.8</v>
      </c>
      <c r="E179" s="300" t="s">
        <v>253</v>
      </c>
      <c r="F179" s="301"/>
      <c r="G179" s="302">
        <f>D179*F179</f>
        <v>0</v>
      </c>
      <c r="H179" s="320"/>
    </row>
    <row r="180" spans="1:8" s="314" customFormat="1" ht="26.4">
      <c r="A180" s="304" t="s">
        <v>1414</v>
      </c>
      <c r="B180" s="298">
        <v>460421082</v>
      </c>
      <c r="C180" s="304" t="s">
        <v>1519</v>
      </c>
      <c r="D180" s="309">
        <f>D175+D176</f>
        <v>248</v>
      </c>
      <c r="E180" s="316" t="s">
        <v>209</v>
      </c>
      <c r="F180" s="307"/>
      <c r="G180" s="308">
        <f aca="true" t="shared" si="14" ref="G180:G186">D180*F180</f>
        <v>0</v>
      </c>
      <c r="H180" s="329"/>
    </row>
    <row r="181" spans="1:8" s="314" customFormat="1" ht="26.4">
      <c r="A181" s="304" t="s">
        <v>1431</v>
      </c>
      <c r="B181" s="298">
        <v>460560213</v>
      </c>
      <c r="C181" s="304" t="s">
        <v>1522</v>
      </c>
      <c r="D181" s="309">
        <f>D175</f>
        <v>55</v>
      </c>
      <c r="E181" s="316" t="s">
        <v>209</v>
      </c>
      <c r="F181" s="307"/>
      <c r="G181" s="308">
        <f t="shared" si="14"/>
        <v>0</v>
      </c>
      <c r="H181" s="329"/>
    </row>
    <row r="182" spans="1:8" s="314" customFormat="1" ht="26.4">
      <c r="A182" s="304" t="s">
        <v>1434</v>
      </c>
      <c r="B182" s="298">
        <v>460560263</v>
      </c>
      <c r="C182" s="304" t="s">
        <v>1523</v>
      </c>
      <c r="D182" s="309">
        <f>D176</f>
        <v>193</v>
      </c>
      <c r="E182" s="316" t="s">
        <v>209</v>
      </c>
      <c r="F182" s="307"/>
      <c r="G182" s="308">
        <f t="shared" si="14"/>
        <v>0</v>
      </c>
      <c r="H182" s="329"/>
    </row>
    <row r="183" spans="1:8" s="318" customFormat="1" ht="15">
      <c r="A183" s="304" t="s">
        <v>1473</v>
      </c>
      <c r="B183" s="298">
        <v>460600061</v>
      </c>
      <c r="C183" s="304" t="s">
        <v>1524</v>
      </c>
      <c r="D183" s="309">
        <v>37.2</v>
      </c>
      <c r="E183" s="316" t="s">
        <v>1525</v>
      </c>
      <c r="F183" s="307"/>
      <c r="G183" s="308">
        <f t="shared" si="14"/>
        <v>0</v>
      </c>
      <c r="H183" s="329"/>
    </row>
    <row r="184" spans="1:8" s="318" customFormat="1" ht="26.4">
      <c r="A184" s="304" t="s">
        <v>1476</v>
      </c>
      <c r="B184" s="298">
        <v>460600071</v>
      </c>
      <c r="C184" s="304" t="s">
        <v>1526</v>
      </c>
      <c r="D184" s="309">
        <v>37.2</v>
      </c>
      <c r="E184" s="316" t="s">
        <v>1525</v>
      </c>
      <c r="F184" s="307"/>
      <c r="G184" s="308">
        <f t="shared" si="14"/>
        <v>0</v>
      </c>
      <c r="H184" s="329"/>
    </row>
    <row r="185" spans="1:8" s="318" customFormat="1" ht="26.4">
      <c r="A185" s="304" t="s">
        <v>1478</v>
      </c>
      <c r="B185" s="298">
        <v>460620013</v>
      </c>
      <c r="C185" s="304" t="s">
        <v>1527</v>
      </c>
      <c r="D185" s="309">
        <v>134</v>
      </c>
      <c r="E185" s="316" t="s">
        <v>109</v>
      </c>
      <c r="F185" s="307"/>
      <c r="G185" s="308">
        <f t="shared" si="14"/>
        <v>0</v>
      </c>
      <c r="H185" s="329"/>
    </row>
    <row r="186" spans="1:8" s="318" customFormat="1" ht="28.8">
      <c r="A186" s="304" t="s">
        <v>1480</v>
      </c>
      <c r="B186" s="298">
        <v>997221855</v>
      </c>
      <c r="C186" s="330" t="s">
        <v>1528</v>
      </c>
      <c r="D186" s="309">
        <f>D183</f>
        <v>37.2</v>
      </c>
      <c r="E186" s="316" t="s">
        <v>1525</v>
      </c>
      <c r="F186" s="307"/>
      <c r="G186" s="308">
        <f t="shared" si="14"/>
        <v>0</v>
      </c>
      <c r="H186" s="329"/>
    </row>
    <row r="187" spans="1:8" ht="15">
      <c r="A187" s="304"/>
      <c r="B187" s="298"/>
      <c r="C187" s="331"/>
      <c r="D187" s="309"/>
      <c r="E187" s="306"/>
      <c r="F187" s="307"/>
      <c r="G187" s="308"/>
      <c r="H187" s="320"/>
    </row>
    <row r="188" spans="1:7" ht="15">
      <c r="A188" s="291"/>
      <c r="B188" s="292"/>
      <c r="C188" s="293" t="s">
        <v>1548</v>
      </c>
      <c r="D188" s="294"/>
      <c r="E188" s="291"/>
      <c r="F188" s="349"/>
      <c r="G188" s="348">
        <f>SUM(G189:G204)</f>
        <v>0</v>
      </c>
    </row>
    <row r="189" spans="1:8" s="318" customFormat="1" ht="15">
      <c r="A189" s="304" t="s">
        <v>1393</v>
      </c>
      <c r="B189" s="298">
        <v>460010023</v>
      </c>
      <c r="C189" s="304" t="s">
        <v>1510</v>
      </c>
      <c r="D189" s="309">
        <f>SUM(D190:D192)/1000</f>
        <v>0.203</v>
      </c>
      <c r="E189" s="316" t="s">
        <v>337</v>
      </c>
      <c r="F189" s="307"/>
      <c r="G189" s="308">
        <f aca="true" t="shared" si="15" ref="G189:G192">D189*F189</f>
        <v>0</v>
      </c>
      <c r="H189" s="329"/>
    </row>
    <row r="190" spans="1:8" s="318" customFormat="1" ht="39.6">
      <c r="A190" s="304" t="s">
        <v>1399</v>
      </c>
      <c r="B190" s="298">
        <v>460150113</v>
      </c>
      <c r="C190" s="304" t="s">
        <v>1549</v>
      </c>
      <c r="D190" s="309">
        <v>36</v>
      </c>
      <c r="E190" s="316" t="s">
        <v>209</v>
      </c>
      <c r="F190" s="307"/>
      <c r="G190" s="308">
        <f t="shared" si="15"/>
        <v>0</v>
      </c>
      <c r="H190" s="329"/>
    </row>
    <row r="191" spans="1:8" s="314" customFormat="1" ht="39.6">
      <c r="A191" s="304" t="s">
        <v>1403</v>
      </c>
      <c r="B191" s="298">
        <v>460150163</v>
      </c>
      <c r="C191" s="304" t="s">
        <v>1550</v>
      </c>
      <c r="D191" s="309">
        <v>141</v>
      </c>
      <c r="E191" s="316" t="s">
        <v>209</v>
      </c>
      <c r="F191" s="307"/>
      <c r="G191" s="308">
        <f t="shared" si="15"/>
        <v>0</v>
      </c>
      <c r="H191" s="329"/>
    </row>
    <row r="192" spans="1:8" s="314" customFormat="1" ht="39.6">
      <c r="A192" s="304" t="s">
        <v>1406</v>
      </c>
      <c r="B192" s="298">
        <v>460150263</v>
      </c>
      <c r="C192" s="304" t="s">
        <v>1547</v>
      </c>
      <c r="D192" s="309">
        <v>26</v>
      </c>
      <c r="E192" s="316" t="s">
        <v>209</v>
      </c>
      <c r="F192" s="307"/>
      <c r="G192" s="308">
        <f t="shared" si="15"/>
        <v>0</v>
      </c>
      <c r="H192" s="329"/>
    </row>
    <row r="193" spans="1:8" ht="15">
      <c r="A193" s="297" t="s">
        <v>1410</v>
      </c>
      <c r="B193" s="298"/>
      <c r="C193" s="297" t="s">
        <v>1516</v>
      </c>
      <c r="D193" s="299">
        <f>SUM(D190:D192)</f>
        <v>203</v>
      </c>
      <c r="E193" s="300" t="s">
        <v>209</v>
      </c>
      <c r="F193" s="301"/>
      <c r="G193" s="302">
        <f>D193*F193</f>
        <v>0</v>
      </c>
      <c r="H193" s="320"/>
    </row>
    <row r="194" spans="1:8" s="314" customFormat="1" ht="26.4">
      <c r="A194" s="304"/>
      <c r="B194" s="298">
        <v>460490013</v>
      </c>
      <c r="C194" s="304" t="s">
        <v>1517</v>
      </c>
      <c r="D194" s="309">
        <f>D193</f>
        <v>203</v>
      </c>
      <c r="E194" s="316" t="s">
        <v>209</v>
      </c>
      <c r="F194" s="307"/>
      <c r="G194" s="308">
        <f aca="true" t="shared" si="16" ref="G194">D194*F194</f>
        <v>0</v>
      </c>
      <c r="H194" s="329"/>
    </row>
    <row r="195" spans="1:8" ht="15">
      <c r="A195" s="297" t="s">
        <v>1414</v>
      </c>
      <c r="B195" s="298"/>
      <c r="C195" s="297" t="s">
        <v>1518</v>
      </c>
      <c r="D195" s="299">
        <v>14.99</v>
      </c>
      <c r="E195" s="300" t="s">
        <v>253</v>
      </c>
      <c r="F195" s="301"/>
      <c r="G195" s="302">
        <f>D195*F195</f>
        <v>0</v>
      </c>
      <c r="H195" s="320"/>
    </row>
    <row r="196" spans="1:8" s="314" customFormat="1" ht="26.4">
      <c r="A196" s="304" t="s">
        <v>1431</v>
      </c>
      <c r="B196" s="298">
        <v>460421082</v>
      </c>
      <c r="C196" s="304" t="s">
        <v>1519</v>
      </c>
      <c r="D196" s="309">
        <f>D190+D191+D192</f>
        <v>203</v>
      </c>
      <c r="E196" s="316" t="s">
        <v>209</v>
      </c>
      <c r="F196" s="307"/>
      <c r="G196" s="308">
        <f aca="true" t="shared" si="17" ref="G196:G203">D196*F196</f>
        <v>0</v>
      </c>
      <c r="H196" s="329"/>
    </row>
    <row r="197" spans="1:8" s="318" customFormat="1" ht="26.25" customHeight="1">
      <c r="A197" s="304" t="s">
        <v>1434</v>
      </c>
      <c r="B197" s="298">
        <v>460560113</v>
      </c>
      <c r="C197" s="304" t="s">
        <v>1520</v>
      </c>
      <c r="D197" s="309">
        <f aca="true" t="shared" si="18" ref="D197:D199">D190</f>
        <v>36</v>
      </c>
      <c r="E197" s="316" t="s">
        <v>209</v>
      </c>
      <c r="F197" s="307"/>
      <c r="G197" s="308">
        <f t="shared" si="17"/>
        <v>0</v>
      </c>
      <c r="H197" s="329"/>
    </row>
    <row r="198" spans="1:8" s="314" customFormat="1" ht="26.4">
      <c r="A198" s="304" t="s">
        <v>1473</v>
      </c>
      <c r="B198" s="298">
        <v>460560163</v>
      </c>
      <c r="C198" s="304" t="s">
        <v>1521</v>
      </c>
      <c r="D198" s="309">
        <f t="shared" si="18"/>
        <v>141</v>
      </c>
      <c r="E198" s="316" t="s">
        <v>209</v>
      </c>
      <c r="F198" s="307"/>
      <c r="G198" s="308">
        <f t="shared" si="17"/>
        <v>0</v>
      </c>
      <c r="H198" s="329"/>
    </row>
    <row r="199" spans="1:8" s="314" customFormat="1" ht="26.4">
      <c r="A199" s="304" t="s">
        <v>1476</v>
      </c>
      <c r="B199" s="298">
        <v>460560263</v>
      </c>
      <c r="C199" s="304" t="s">
        <v>1523</v>
      </c>
      <c r="D199" s="309">
        <f t="shared" si="18"/>
        <v>26</v>
      </c>
      <c r="E199" s="316" t="s">
        <v>209</v>
      </c>
      <c r="F199" s="307"/>
      <c r="G199" s="308">
        <f t="shared" si="17"/>
        <v>0</v>
      </c>
      <c r="H199" s="329"/>
    </row>
    <row r="200" spans="1:8" s="318" customFormat="1" ht="15">
      <c r="A200" s="304" t="s">
        <v>1478</v>
      </c>
      <c r="B200" s="298">
        <v>460600061</v>
      </c>
      <c r="C200" s="304" t="s">
        <v>1524</v>
      </c>
      <c r="D200" s="309">
        <v>22.48</v>
      </c>
      <c r="E200" s="316" t="s">
        <v>1525</v>
      </c>
      <c r="F200" s="307"/>
      <c r="G200" s="308">
        <f t="shared" si="17"/>
        <v>0</v>
      </c>
      <c r="H200" s="329"/>
    </row>
    <row r="201" spans="1:8" s="318" customFormat="1" ht="26.4">
      <c r="A201" s="304" t="s">
        <v>1480</v>
      </c>
      <c r="B201" s="298">
        <v>460600071</v>
      </c>
      <c r="C201" s="304" t="s">
        <v>1526</v>
      </c>
      <c r="D201" s="309">
        <v>22.48</v>
      </c>
      <c r="E201" s="316" t="s">
        <v>1525</v>
      </c>
      <c r="F201" s="307"/>
      <c r="G201" s="308">
        <f t="shared" si="17"/>
        <v>0</v>
      </c>
      <c r="H201" s="329"/>
    </row>
    <row r="202" spans="1:8" s="318" customFormat="1" ht="26.4">
      <c r="A202" s="304" t="s">
        <v>1482</v>
      </c>
      <c r="B202" s="298">
        <v>460620013</v>
      </c>
      <c r="C202" s="304" t="s">
        <v>1527</v>
      </c>
      <c r="D202" s="309">
        <v>108</v>
      </c>
      <c r="E202" s="316" t="s">
        <v>109</v>
      </c>
      <c r="F202" s="307"/>
      <c r="G202" s="308">
        <f t="shared" si="17"/>
        <v>0</v>
      </c>
      <c r="H202" s="329"/>
    </row>
    <row r="203" spans="1:8" s="318" customFormat="1" ht="28.8">
      <c r="A203" s="304" t="s">
        <v>1485</v>
      </c>
      <c r="B203" s="298">
        <v>997221855</v>
      </c>
      <c r="C203" s="330" t="s">
        <v>1528</v>
      </c>
      <c r="D203" s="309">
        <f>D200</f>
        <v>22.48</v>
      </c>
      <c r="E203" s="316" t="s">
        <v>1525</v>
      </c>
      <c r="F203" s="307"/>
      <c r="G203" s="308">
        <f t="shared" si="17"/>
        <v>0</v>
      </c>
      <c r="H203" s="329"/>
    </row>
    <row r="204" spans="1:8" ht="15">
      <c r="A204" s="304"/>
      <c r="B204" s="298"/>
      <c r="C204" s="331"/>
      <c r="D204" s="309"/>
      <c r="E204" s="306"/>
      <c r="F204" s="307"/>
      <c r="G204" s="308"/>
      <c r="H204" s="320"/>
    </row>
    <row r="205" spans="1:7" ht="15">
      <c r="A205" s="291"/>
      <c r="B205" s="292"/>
      <c r="C205" s="310" t="s">
        <v>1551</v>
      </c>
      <c r="D205" s="294"/>
      <c r="E205" s="311"/>
      <c r="F205" s="295"/>
      <c r="G205" s="296">
        <f>SUM(G206:G210)</f>
        <v>0</v>
      </c>
    </row>
    <row r="206" spans="1:7" s="303" customFormat="1" ht="13.2">
      <c r="A206" s="297" t="s">
        <v>1393</v>
      </c>
      <c r="B206" s="298"/>
      <c r="C206" s="297" t="s">
        <v>1423</v>
      </c>
      <c r="D206" s="299">
        <v>888</v>
      </c>
      <c r="E206" s="300" t="s">
        <v>697</v>
      </c>
      <c r="F206" s="301"/>
      <c r="G206" s="302">
        <f>D206*F206</f>
        <v>0</v>
      </c>
    </row>
    <row r="207" spans="1:7" ht="26.4">
      <c r="A207" s="304"/>
      <c r="B207" s="298">
        <v>741110311</v>
      </c>
      <c r="C207" s="304" t="s">
        <v>1424</v>
      </c>
      <c r="D207" s="305">
        <f>D206</f>
        <v>888</v>
      </c>
      <c r="E207" s="306" t="s">
        <v>697</v>
      </c>
      <c r="F207" s="307"/>
      <c r="G207" s="308">
        <f aca="true" t="shared" si="19" ref="G207">D207*F207</f>
        <v>0</v>
      </c>
    </row>
    <row r="208" spans="1:7" s="303" customFormat="1" ht="13.2">
      <c r="A208" s="297" t="s">
        <v>1399</v>
      </c>
      <c r="B208" s="298"/>
      <c r="C208" s="297" t="s">
        <v>1428</v>
      </c>
      <c r="D208" s="299">
        <v>65</v>
      </c>
      <c r="E208" s="300" t="s">
        <v>697</v>
      </c>
      <c r="F208" s="301"/>
      <c r="G208" s="302">
        <f>D208*F208</f>
        <v>0</v>
      </c>
    </row>
    <row r="209" spans="1:7" ht="26.4">
      <c r="A209" s="304"/>
      <c r="B209" s="298">
        <v>741110312</v>
      </c>
      <c r="C209" s="304" t="s">
        <v>1426</v>
      </c>
      <c r="D209" s="305">
        <f>D208</f>
        <v>65</v>
      </c>
      <c r="E209" s="306" t="s">
        <v>697</v>
      </c>
      <c r="F209" s="307"/>
      <c r="G209" s="308">
        <f aca="true" t="shared" si="20" ref="G209">D209*F209</f>
        <v>0</v>
      </c>
    </row>
    <row r="210" spans="1:8" ht="15" thickBot="1">
      <c r="A210" s="304"/>
      <c r="B210" s="298"/>
      <c r="C210" s="331"/>
      <c r="D210" s="309"/>
      <c r="E210" s="306"/>
      <c r="F210" s="336"/>
      <c r="G210" s="308"/>
      <c r="H210" s="320"/>
    </row>
    <row r="211" spans="1:7" s="342" customFormat="1" ht="23.25" customHeight="1" thickBot="1">
      <c r="A211" s="337"/>
      <c r="B211" s="338"/>
      <c r="C211" s="339" t="s">
        <v>1543</v>
      </c>
      <c r="D211" s="338"/>
      <c r="E211" s="339"/>
      <c r="F211" s="340"/>
      <c r="G211" s="341">
        <f>G173+G188+G205</f>
        <v>0</v>
      </c>
    </row>
    <row r="213" ht="15">
      <c r="C213" s="620" t="s">
        <v>2117</v>
      </c>
    </row>
  </sheetData>
  <sheetProtection algorithmName="SHA-512" hashValue="q4BlyRnvx3foZdRBjrhk3b7x0YrxGM035kwhzwURLak1muNMEMn4PhFpebriXnrm44LHfP8HfcUoU0G+x8IQJQ==" saltValue="huGwWzCtnEu89wffBNPJjg==" spinCount="100000" sheet="1" objects="1" scenarios="1"/>
  <mergeCells count="2">
    <mergeCell ref="D2:F2"/>
    <mergeCell ref="A171:F171"/>
  </mergeCells>
  <printOptions/>
  <pageMargins left="0.25" right="0.25" top="0.75" bottom="0.75" header="0.3" footer="0.3"/>
  <pageSetup horizontalDpi="600" verticalDpi="600" orientation="portrait" paperSize="9" scale="59" r:id="rId1"/>
  <rowBreaks count="3" manualBreakCount="3">
    <brk id="45" max="16383" man="1"/>
    <brk id="123" max="16383" man="1"/>
    <brk id="1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12907-C2B1-4DDA-A817-74F7F7146EF2}">
  <sheetPr>
    <pageSetUpPr fitToPage="1"/>
  </sheetPr>
  <dimension ref="A1:J37"/>
  <sheetViews>
    <sheetView workbookViewId="0" topLeftCell="A1">
      <selection activeCell="O21" sqref="O21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05" customHeight="1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ht="15">
      <c r="A2" s="764" t="s">
        <v>13</v>
      </c>
      <c r="B2" s="765"/>
      <c r="C2" s="768" t="s">
        <v>14</v>
      </c>
      <c r="D2" s="769"/>
      <c r="E2" s="771" t="s">
        <v>15</v>
      </c>
      <c r="F2" s="771" t="s">
        <v>1371</v>
      </c>
      <c r="G2" s="765"/>
      <c r="H2" s="771" t="s">
        <v>25</v>
      </c>
      <c r="I2" s="772"/>
      <c r="J2" s="102"/>
    </row>
    <row r="3" spans="1:10" ht="12.75" customHeight="1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ht="15">
      <c r="A4" s="776" t="s">
        <v>26</v>
      </c>
      <c r="B4" s="767"/>
      <c r="C4" s="777" t="s">
        <v>3</v>
      </c>
      <c r="D4" s="767"/>
      <c r="E4" s="777" t="s">
        <v>27</v>
      </c>
      <c r="F4" s="777" t="s">
        <v>1552</v>
      </c>
      <c r="G4" s="767"/>
      <c r="H4" s="777" t="s">
        <v>25</v>
      </c>
      <c r="I4" s="778"/>
      <c r="J4" s="102"/>
    </row>
    <row r="5" spans="1:10" ht="12.75" customHeight="1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ht="15">
      <c r="A6" s="776" t="s">
        <v>16</v>
      </c>
      <c r="B6" s="767"/>
      <c r="C6" s="777" t="s">
        <v>17</v>
      </c>
      <c r="D6" s="767"/>
      <c r="E6" s="777" t="s">
        <v>29</v>
      </c>
      <c r="F6" s="777"/>
      <c r="G6" s="767"/>
      <c r="H6" s="777" t="s">
        <v>25</v>
      </c>
      <c r="I6" s="778"/>
      <c r="J6" s="102"/>
    </row>
    <row r="7" spans="1:10" ht="12.75" customHeight="1">
      <c r="A7" s="766"/>
      <c r="B7" s="767"/>
      <c r="C7" s="767"/>
      <c r="D7" s="767"/>
      <c r="E7" s="767"/>
      <c r="F7" s="767"/>
      <c r="G7" s="767"/>
      <c r="H7" s="767"/>
      <c r="I7" s="773"/>
      <c r="J7" s="102"/>
    </row>
    <row r="8" spans="1:10" ht="15">
      <c r="A8" s="776" t="s">
        <v>30</v>
      </c>
      <c r="B8" s="767"/>
      <c r="C8" s="777"/>
      <c r="D8" s="767"/>
      <c r="E8" s="777" t="s">
        <v>31</v>
      </c>
      <c r="F8" s="777"/>
      <c r="G8" s="767"/>
      <c r="H8" s="783" t="s">
        <v>32</v>
      </c>
      <c r="I8" s="778" t="s">
        <v>618</v>
      </c>
      <c r="J8" s="102"/>
    </row>
    <row r="9" spans="1:10" ht="15">
      <c r="A9" s="766"/>
      <c r="B9" s="767"/>
      <c r="C9" s="767"/>
      <c r="D9" s="767"/>
      <c r="E9" s="767"/>
      <c r="F9" s="767"/>
      <c r="G9" s="767"/>
      <c r="H9" s="767"/>
      <c r="I9" s="773"/>
      <c r="J9" s="102"/>
    </row>
    <row r="10" spans="1:10" ht="15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>
        <v>43726</v>
      </c>
      <c r="J10" s="102"/>
    </row>
    <row r="11" spans="1:10" ht="15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9" ht="18.75" customHeight="1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>
      <c r="A13" s="160" t="s">
        <v>37</v>
      </c>
      <c r="B13" s="788" t="s">
        <v>38</v>
      </c>
      <c r="C13" s="789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>
      <c r="A14" s="161"/>
      <c r="B14" s="162"/>
      <c r="C14" s="163"/>
      <c r="D14" s="792" t="s">
        <v>45</v>
      </c>
      <c r="E14" s="750"/>
      <c r="F14" s="755">
        <v>0</v>
      </c>
      <c r="G14" s="749" t="s">
        <v>50</v>
      </c>
      <c r="H14" s="750"/>
      <c r="I14" s="755">
        <v>0</v>
      </c>
      <c r="J14" s="102"/>
    </row>
    <row r="15" spans="1:10" ht="12.75" customHeight="1">
      <c r="A15" s="164"/>
      <c r="B15" s="165"/>
      <c r="C15" s="166"/>
      <c r="D15" s="793"/>
      <c r="E15" s="752"/>
      <c r="F15" s="756"/>
      <c r="G15" s="751"/>
      <c r="H15" s="752"/>
      <c r="I15" s="756"/>
      <c r="J15" s="102"/>
    </row>
    <row r="16" spans="1:10" ht="22.2" customHeight="1">
      <c r="A16" s="164"/>
      <c r="B16" s="165"/>
      <c r="C16" s="166"/>
      <c r="D16" s="794"/>
      <c r="E16" s="754"/>
      <c r="F16" s="757"/>
      <c r="G16" s="751"/>
      <c r="H16" s="752"/>
      <c r="I16" s="756"/>
      <c r="J16" s="102"/>
    </row>
    <row r="17" spans="1:10" ht="26.4" customHeight="1">
      <c r="A17" s="164"/>
      <c r="B17" s="165"/>
      <c r="C17" s="166"/>
      <c r="D17" s="792" t="s">
        <v>49</v>
      </c>
      <c r="E17" s="750"/>
      <c r="F17" s="818">
        <v>0</v>
      </c>
      <c r="G17" s="751"/>
      <c r="H17" s="752"/>
      <c r="I17" s="756"/>
      <c r="J17" s="102"/>
    </row>
    <row r="18" spans="1:10" ht="12.75" customHeight="1">
      <c r="A18" s="164"/>
      <c r="B18" s="165"/>
      <c r="C18" s="166"/>
      <c r="D18" s="793"/>
      <c r="E18" s="752"/>
      <c r="F18" s="819"/>
      <c r="G18" s="753"/>
      <c r="H18" s="754"/>
      <c r="I18" s="757"/>
      <c r="J18" s="102"/>
    </row>
    <row r="19" spans="1:10" ht="12.75" customHeight="1">
      <c r="A19" s="164"/>
      <c r="B19" s="165"/>
      <c r="C19" s="166"/>
      <c r="D19" s="793"/>
      <c r="E19" s="752"/>
      <c r="F19" s="819"/>
      <c r="G19" s="749" t="s">
        <v>1553</v>
      </c>
      <c r="H19" s="750"/>
      <c r="I19" s="755">
        <v>0</v>
      </c>
      <c r="J19" s="102"/>
    </row>
    <row r="20" spans="1:10" ht="12.75" customHeight="1">
      <c r="A20" s="798"/>
      <c r="B20" s="799"/>
      <c r="C20" s="166"/>
      <c r="D20" s="794"/>
      <c r="E20" s="754"/>
      <c r="F20" s="820"/>
      <c r="G20" s="751"/>
      <c r="H20" s="752"/>
      <c r="I20" s="756"/>
      <c r="J20" s="102"/>
    </row>
    <row r="21" spans="1:10" ht="39.6" customHeight="1">
      <c r="A21" s="800"/>
      <c r="B21" s="801"/>
      <c r="C21" s="167"/>
      <c r="D21" s="848" t="s">
        <v>1554</v>
      </c>
      <c r="E21" s="849"/>
      <c r="F21" s="350">
        <v>0</v>
      </c>
      <c r="G21" s="753"/>
      <c r="H21" s="754"/>
      <c r="I21" s="757"/>
      <c r="J21" s="102"/>
    </row>
    <row r="22" spans="1:10" ht="16.95" customHeight="1">
      <c r="A22" s="800" t="s">
        <v>54</v>
      </c>
      <c r="B22" s="807"/>
      <c r="C22" s="168">
        <f>'SO 05_Výkaz výměr'!G217</f>
        <v>0</v>
      </c>
      <c r="D22" s="850" t="s">
        <v>55</v>
      </c>
      <c r="E22" s="851"/>
      <c r="F22" s="351">
        <f>SUM(F14:F21)</f>
        <v>0</v>
      </c>
      <c r="G22" s="850" t="s">
        <v>56</v>
      </c>
      <c r="H22" s="851"/>
      <c r="I22" s="351">
        <f>SUM(I14:I21)</f>
        <v>0</v>
      </c>
      <c r="J22" s="102"/>
    </row>
    <row r="23" spans="1:9" ht="12.75" customHeight="1">
      <c r="A23" s="109"/>
      <c r="B23" s="109"/>
      <c r="C23" s="109"/>
      <c r="D23" s="850"/>
      <c r="E23" s="852"/>
      <c r="F23" s="352"/>
      <c r="G23" s="853"/>
      <c r="H23" s="852"/>
      <c r="I23" s="163"/>
    </row>
    <row r="24" spans="4:9" ht="12.75" customHeight="1">
      <c r="D24" s="102"/>
      <c r="G24" s="804"/>
      <c r="H24" s="799"/>
      <c r="I24" s="166"/>
    </row>
    <row r="25" spans="4:9" ht="12.75" customHeight="1">
      <c r="D25" s="102"/>
      <c r="G25" s="804"/>
      <c r="H25" s="799"/>
      <c r="I25" s="166"/>
    </row>
    <row r="26" spans="1:9" ht="15">
      <c r="A26" s="100"/>
      <c r="B26" s="100"/>
      <c r="C26" s="100"/>
      <c r="D26" s="102"/>
      <c r="I26" s="114"/>
    </row>
    <row r="27" spans="1:9" ht="12.75" customHeight="1">
      <c r="A27" s="805" t="s">
        <v>57</v>
      </c>
      <c r="B27" s="806"/>
      <c r="C27" s="353">
        <v>0</v>
      </c>
      <c r="D27" s="116"/>
      <c r="E27" s="100"/>
      <c r="F27" s="100"/>
      <c r="G27" s="100"/>
      <c r="H27" s="100"/>
      <c r="I27" s="354"/>
    </row>
    <row r="28" spans="1:10" ht="12.75" customHeight="1">
      <c r="A28" s="805" t="s">
        <v>58</v>
      </c>
      <c r="B28" s="806"/>
      <c r="C28" s="115">
        <v>0</v>
      </c>
      <c r="D28" s="846" t="s">
        <v>59</v>
      </c>
      <c r="E28" s="847"/>
      <c r="F28" s="355">
        <v>0</v>
      </c>
      <c r="G28" s="846" t="s">
        <v>60</v>
      </c>
      <c r="H28" s="847"/>
      <c r="I28" s="355">
        <f>SUM(C27:C29)</f>
        <v>0</v>
      </c>
      <c r="J28" s="102"/>
    </row>
    <row r="29" spans="1:10" ht="12.75" customHeight="1">
      <c r="A29" s="805" t="s">
        <v>61</v>
      </c>
      <c r="B29" s="806"/>
      <c r="C29" s="115">
        <f>SUM(C22,F22,I22)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9" ht="13.8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9" ht="10.8" customHeight="1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password="CC6B" sheet="1"/>
  <mergeCells count="76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G19:H21"/>
    <mergeCell ref="I19:I21"/>
    <mergeCell ref="A20:B20"/>
    <mergeCell ref="A21:B21"/>
    <mergeCell ref="D21:E21"/>
    <mergeCell ref="A22:B22"/>
    <mergeCell ref="D22:E22"/>
    <mergeCell ref="G22:H22"/>
    <mergeCell ref="D23:E23"/>
    <mergeCell ref="G23:H23"/>
    <mergeCell ref="G24:H24"/>
    <mergeCell ref="G25:H25"/>
    <mergeCell ref="A27:B27"/>
    <mergeCell ref="A12:I12"/>
    <mergeCell ref="B13:C13"/>
    <mergeCell ref="E13:F13"/>
    <mergeCell ref="H13:I13"/>
    <mergeCell ref="D14:E16"/>
    <mergeCell ref="F14:F16"/>
    <mergeCell ref="G14:H18"/>
    <mergeCell ref="I14:I18"/>
    <mergeCell ref="D17:E20"/>
    <mergeCell ref="F17:F20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B4F7-A838-42CB-B933-C2335B1FB458}">
  <sheetPr>
    <tabColor theme="4" tint="0.7999799847602844"/>
  </sheetPr>
  <dimension ref="A1:O317"/>
  <sheetViews>
    <sheetView showGridLines="0" showZeros="0" zoomScaleSheetLayoutView="115" workbookViewId="0" topLeftCell="A1">
      <pane xSplit="7" ySplit="6" topLeftCell="H7" activePane="bottomRight" state="frozen"/>
      <selection pane="topLeft" activeCell="D21" sqref="D21:E21"/>
      <selection pane="topRight" activeCell="D21" sqref="D21:E21"/>
      <selection pane="bottomLeft" activeCell="D21" sqref="D21:E21"/>
      <selection pane="bottomRight" activeCell="J15" sqref="J15"/>
    </sheetView>
  </sheetViews>
  <sheetFormatPr defaultColWidth="9.140625" defaultRowHeight="15"/>
  <cols>
    <col min="1" max="1" width="4.421875" style="357" customWidth="1"/>
    <col min="2" max="2" width="14.57421875" style="357" customWidth="1"/>
    <col min="3" max="3" width="42.8515625" style="357" customWidth="1"/>
    <col min="4" max="4" width="5.421875" style="357" customWidth="1"/>
    <col min="5" max="5" width="7.7109375" style="516" customWidth="1"/>
    <col min="6" max="6" width="10.140625" style="357" customWidth="1"/>
    <col min="7" max="7" width="12.8515625" style="357" customWidth="1"/>
    <col min="8" max="8" width="14.28125" style="357" customWidth="1"/>
    <col min="9" max="9" width="11.00390625" style="357" customWidth="1"/>
    <col min="10" max="10" width="14.57421875" style="357" customWidth="1"/>
    <col min="11" max="11" width="16.57421875" style="357" customWidth="1"/>
    <col min="12" max="12" width="75.421875" style="357" customWidth="1"/>
    <col min="13" max="256" width="9.140625" style="357" customWidth="1"/>
    <col min="257" max="257" width="4.421875" style="357" customWidth="1"/>
    <col min="258" max="258" width="14.57421875" style="357" customWidth="1"/>
    <col min="259" max="259" width="42.8515625" style="357" customWidth="1"/>
    <col min="260" max="260" width="5.421875" style="357" customWidth="1"/>
    <col min="261" max="261" width="7.7109375" style="357" customWidth="1"/>
    <col min="262" max="262" width="10.140625" style="357" customWidth="1"/>
    <col min="263" max="263" width="12.8515625" style="357" customWidth="1"/>
    <col min="264" max="264" width="14.28125" style="357" customWidth="1"/>
    <col min="265" max="265" width="11.00390625" style="357" customWidth="1"/>
    <col min="266" max="266" width="14.57421875" style="357" customWidth="1"/>
    <col min="267" max="267" width="16.57421875" style="357" customWidth="1"/>
    <col min="268" max="268" width="75.421875" style="357" customWidth="1"/>
    <col min="269" max="512" width="9.140625" style="357" customWidth="1"/>
    <col min="513" max="513" width="4.421875" style="357" customWidth="1"/>
    <col min="514" max="514" width="14.57421875" style="357" customWidth="1"/>
    <col min="515" max="515" width="42.8515625" style="357" customWidth="1"/>
    <col min="516" max="516" width="5.421875" style="357" customWidth="1"/>
    <col min="517" max="517" width="7.7109375" style="357" customWidth="1"/>
    <col min="518" max="518" width="10.140625" style="357" customWidth="1"/>
    <col min="519" max="519" width="12.8515625" style="357" customWidth="1"/>
    <col min="520" max="520" width="14.28125" style="357" customWidth="1"/>
    <col min="521" max="521" width="11.00390625" style="357" customWidth="1"/>
    <col min="522" max="522" width="14.57421875" style="357" customWidth="1"/>
    <col min="523" max="523" width="16.57421875" style="357" customWidth="1"/>
    <col min="524" max="524" width="75.421875" style="357" customWidth="1"/>
    <col min="525" max="768" width="9.140625" style="357" customWidth="1"/>
    <col min="769" max="769" width="4.421875" style="357" customWidth="1"/>
    <col min="770" max="770" width="14.57421875" style="357" customWidth="1"/>
    <col min="771" max="771" width="42.8515625" style="357" customWidth="1"/>
    <col min="772" max="772" width="5.421875" style="357" customWidth="1"/>
    <col min="773" max="773" width="7.7109375" style="357" customWidth="1"/>
    <col min="774" max="774" width="10.140625" style="357" customWidth="1"/>
    <col min="775" max="775" width="12.8515625" style="357" customWidth="1"/>
    <col min="776" max="776" width="14.28125" style="357" customWidth="1"/>
    <col min="777" max="777" width="11.00390625" style="357" customWidth="1"/>
    <col min="778" max="778" width="14.57421875" style="357" customWidth="1"/>
    <col min="779" max="779" width="16.57421875" style="357" customWidth="1"/>
    <col min="780" max="780" width="75.421875" style="357" customWidth="1"/>
    <col min="781" max="1024" width="9.140625" style="357" customWidth="1"/>
    <col min="1025" max="1025" width="4.421875" style="357" customWidth="1"/>
    <col min="1026" max="1026" width="14.57421875" style="357" customWidth="1"/>
    <col min="1027" max="1027" width="42.8515625" style="357" customWidth="1"/>
    <col min="1028" max="1028" width="5.421875" style="357" customWidth="1"/>
    <col min="1029" max="1029" width="7.7109375" style="357" customWidth="1"/>
    <col min="1030" max="1030" width="10.140625" style="357" customWidth="1"/>
    <col min="1031" max="1031" width="12.8515625" style="357" customWidth="1"/>
    <col min="1032" max="1032" width="14.28125" style="357" customWidth="1"/>
    <col min="1033" max="1033" width="11.00390625" style="357" customWidth="1"/>
    <col min="1034" max="1034" width="14.57421875" style="357" customWidth="1"/>
    <col min="1035" max="1035" width="16.57421875" style="357" customWidth="1"/>
    <col min="1036" max="1036" width="75.421875" style="357" customWidth="1"/>
    <col min="1037" max="1280" width="9.140625" style="357" customWidth="1"/>
    <col min="1281" max="1281" width="4.421875" style="357" customWidth="1"/>
    <col min="1282" max="1282" width="14.57421875" style="357" customWidth="1"/>
    <col min="1283" max="1283" width="42.8515625" style="357" customWidth="1"/>
    <col min="1284" max="1284" width="5.421875" style="357" customWidth="1"/>
    <col min="1285" max="1285" width="7.7109375" style="357" customWidth="1"/>
    <col min="1286" max="1286" width="10.140625" style="357" customWidth="1"/>
    <col min="1287" max="1287" width="12.8515625" style="357" customWidth="1"/>
    <col min="1288" max="1288" width="14.28125" style="357" customWidth="1"/>
    <col min="1289" max="1289" width="11.00390625" style="357" customWidth="1"/>
    <col min="1290" max="1290" width="14.57421875" style="357" customWidth="1"/>
    <col min="1291" max="1291" width="16.57421875" style="357" customWidth="1"/>
    <col min="1292" max="1292" width="75.421875" style="357" customWidth="1"/>
    <col min="1293" max="1536" width="9.140625" style="357" customWidth="1"/>
    <col min="1537" max="1537" width="4.421875" style="357" customWidth="1"/>
    <col min="1538" max="1538" width="14.57421875" style="357" customWidth="1"/>
    <col min="1539" max="1539" width="42.8515625" style="357" customWidth="1"/>
    <col min="1540" max="1540" width="5.421875" style="357" customWidth="1"/>
    <col min="1541" max="1541" width="7.7109375" style="357" customWidth="1"/>
    <col min="1542" max="1542" width="10.140625" style="357" customWidth="1"/>
    <col min="1543" max="1543" width="12.8515625" style="357" customWidth="1"/>
    <col min="1544" max="1544" width="14.28125" style="357" customWidth="1"/>
    <col min="1545" max="1545" width="11.00390625" style="357" customWidth="1"/>
    <col min="1546" max="1546" width="14.57421875" style="357" customWidth="1"/>
    <col min="1547" max="1547" width="16.57421875" style="357" customWidth="1"/>
    <col min="1548" max="1548" width="75.421875" style="357" customWidth="1"/>
    <col min="1549" max="1792" width="9.140625" style="357" customWidth="1"/>
    <col min="1793" max="1793" width="4.421875" style="357" customWidth="1"/>
    <col min="1794" max="1794" width="14.57421875" style="357" customWidth="1"/>
    <col min="1795" max="1795" width="42.8515625" style="357" customWidth="1"/>
    <col min="1796" max="1796" width="5.421875" style="357" customWidth="1"/>
    <col min="1797" max="1797" width="7.7109375" style="357" customWidth="1"/>
    <col min="1798" max="1798" width="10.140625" style="357" customWidth="1"/>
    <col min="1799" max="1799" width="12.8515625" style="357" customWidth="1"/>
    <col min="1800" max="1800" width="14.28125" style="357" customWidth="1"/>
    <col min="1801" max="1801" width="11.00390625" style="357" customWidth="1"/>
    <col min="1802" max="1802" width="14.57421875" style="357" customWidth="1"/>
    <col min="1803" max="1803" width="16.57421875" style="357" customWidth="1"/>
    <col min="1804" max="1804" width="75.421875" style="357" customWidth="1"/>
    <col min="1805" max="2048" width="9.140625" style="357" customWidth="1"/>
    <col min="2049" max="2049" width="4.421875" style="357" customWidth="1"/>
    <col min="2050" max="2050" width="14.57421875" style="357" customWidth="1"/>
    <col min="2051" max="2051" width="42.8515625" style="357" customWidth="1"/>
    <col min="2052" max="2052" width="5.421875" style="357" customWidth="1"/>
    <col min="2053" max="2053" width="7.7109375" style="357" customWidth="1"/>
    <col min="2054" max="2054" width="10.140625" style="357" customWidth="1"/>
    <col min="2055" max="2055" width="12.8515625" style="357" customWidth="1"/>
    <col min="2056" max="2056" width="14.28125" style="357" customWidth="1"/>
    <col min="2057" max="2057" width="11.00390625" style="357" customWidth="1"/>
    <col min="2058" max="2058" width="14.57421875" style="357" customWidth="1"/>
    <col min="2059" max="2059" width="16.57421875" style="357" customWidth="1"/>
    <col min="2060" max="2060" width="75.421875" style="357" customWidth="1"/>
    <col min="2061" max="2304" width="9.140625" style="357" customWidth="1"/>
    <col min="2305" max="2305" width="4.421875" style="357" customWidth="1"/>
    <col min="2306" max="2306" width="14.57421875" style="357" customWidth="1"/>
    <col min="2307" max="2307" width="42.8515625" style="357" customWidth="1"/>
    <col min="2308" max="2308" width="5.421875" style="357" customWidth="1"/>
    <col min="2309" max="2309" width="7.7109375" style="357" customWidth="1"/>
    <col min="2310" max="2310" width="10.140625" style="357" customWidth="1"/>
    <col min="2311" max="2311" width="12.8515625" style="357" customWidth="1"/>
    <col min="2312" max="2312" width="14.28125" style="357" customWidth="1"/>
    <col min="2313" max="2313" width="11.00390625" style="357" customWidth="1"/>
    <col min="2314" max="2314" width="14.57421875" style="357" customWidth="1"/>
    <col min="2315" max="2315" width="16.57421875" style="357" customWidth="1"/>
    <col min="2316" max="2316" width="75.421875" style="357" customWidth="1"/>
    <col min="2317" max="2560" width="9.140625" style="357" customWidth="1"/>
    <col min="2561" max="2561" width="4.421875" style="357" customWidth="1"/>
    <col min="2562" max="2562" width="14.57421875" style="357" customWidth="1"/>
    <col min="2563" max="2563" width="42.8515625" style="357" customWidth="1"/>
    <col min="2564" max="2564" width="5.421875" style="357" customWidth="1"/>
    <col min="2565" max="2565" width="7.7109375" style="357" customWidth="1"/>
    <col min="2566" max="2566" width="10.140625" style="357" customWidth="1"/>
    <col min="2567" max="2567" width="12.8515625" style="357" customWidth="1"/>
    <col min="2568" max="2568" width="14.28125" style="357" customWidth="1"/>
    <col min="2569" max="2569" width="11.00390625" style="357" customWidth="1"/>
    <col min="2570" max="2570" width="14.57421875" style="357" customWidth="1"/>
    <col min="2571" max="2571" width="16.57421875" style="357" customWidth="1"/>
    <col min="2572" max="2572" width="75.421875" style="357" customWidth="1"/>
    <col min="2573" max="2816" width="9.140625" style="357" customWidth="1"/>
    <col min="2817" max="2817" width="4.421875" style="357" customWidth="1"/>
    <col min="2818" max="2818" width="14.57421875" style="357" customWidth="1"/>
    <col min="2819" max="2819" width="42.8515625" style="357" customWidth="1"/>
    <col min="2820" max="2820" width="5.421875" style="357" customWidth="1"/>
    <col min="2821" max="2821" width="7.7109375" style="357" customWidth="1"/>
    <col min="2822" max="2822" width="10.140625" style="357" customWidth="1"/>
    <col min="2823" max="2823" width="12.8515625" style="357" customWidth="1"/>
    <col min="2824" max="2824" width="14.28125" style="357" customWidth="1"/>
    <col min="2825" max="2825" width="11.00390625" style="357" customWidth="1"/>
    <col min="2826" max="2826" width="14.57421875" style="357" customWidth="1"/>
    <col min="2827" max="2827" width="16.57421875" style="357" customWidth="1"/>
    <col min="2828" max="2828" width="75.421875" style="357" customWidth="1"/>
    <col min="2829" max="3072" width="9.140625" style="357" customWidth="1"/>
    <col min="3073" max="3073" width="4.421875" style="357" customWidth="1"/>
    <col min="3074" max="3074" width="14.57421875" style="357" customWidth="1"/>
    <col min="3075" max="3075" width="42.8515625" style="357" customWidth="1"/>
    <col min="3076" max="3076" width="5.421875" style="357" customWidth="1"/>
    <col min="3077" max="3077" width="7.7109375" style="357" customWidth="1"/>
    <col min="3078" max="3078" width="10.140625" style="357" customWidth="1"/>
    <col min="3079" max="3079" width="12.8515625" style="357" customWidth="1"/>
    <col min="3080" max="3080" width="14.28125" style="357" customWidth="1"/>
    <col min="3081" max="3081" width="11.00390625" style="357" customWidth="1"/>
    <col min="3082" max="3082" width="14.57421875" style="357" customWidth="1"/>
    <col min="3083" max="3083" width="16.57421875" style="357" customWidth="1"/>
    <col min="3084" max="3084" width="75.421875" style="357" customWidth="1"/>
    <col min="3085" max="3328" width="9.140625" style="357" customWidth="1"/>
    <col min="3329" max="3329" width="4.421875" style="357" customWidth="1"/>
    <col min="3330" max="3330" width="14.57421875" style="357" customWidth="1"/>
    <col min="3331" max="3331" width="42.8515625" style="357" customWidth="1"/>
    <col min="3332" max="3332" width="5.421875" style="357" customWidth="1"/>
    <col min="3333" max="3333" width="7.7109375" style="357" customWidth="1"/>
    <col min="3334" max="3334" width="10.140625" style="357" customWidth="1"/>
    <col min="3335" max="3335" width="12.8515625" style="357" customWidth="1"/>
    <col min="3336" max="3336" width="14.28125" style="357" customWidth="1"/>
    <col min="3337" max="3337" width="11.00390625" style="357" customWidth="1"/>
    <col min="3338" max="3338" width="14.57421875" style="357" customWidth="1"/>
    <col min="3339" max="3339" width="16.57421875" style="357" customWidth="1"/>
    <col min="3340" max="3340" width="75.421875" style="357" customWidth="1"/>
    <col min="3341" max="3584" width="9.140625" style="357" customWidth="1"/>
    <col min="3585" max="3585" width="4.421875" style="357" customWidth="1"/>
    <col min="3586" max="3586" width="14.57421875" style="357" customWidth="1"/>
    <col min="3587" max="3587" width="42.8515625" style="357" customWidth="1"/>
    <col min="3588" max="3588" width="5.421875" style="357" customWidth="1"/>
    <col min="3589" max="3589" width="7.7109375" style="357" customWidth="1"/>
    <col min="3590" max="3590" width="10.140625" style="357" customWidth="1"/>
    <col min="3591" max="3591" width="12.8515625" style="357" customWidth="1"/>
    <col min="3592" max="3592" width="14.28125" style="357" customWidth="1"/>
    <col min="3593" max="3593" width="11.00390625" style="357" customWidth="1"/>
    <col min="3594" max="3594" width="14.57421875" style="357" customWidth="1"/>
    <col min="3595" max="3595" width="16.57421875" style="357" customWidth="1"/>
    <col min="3596" max="3596" width="75.421875" style="357" customWidth="1"/>
    <col min="3597" max="3840" width="9.140625" style="357" customWidth="1"/>
    <col min="3841" max="3841" width="4.421875" style="357" customWidth="1"/>
    <col min="3842" max="3842" width="14.57421875" style="357" customWidth="1"/>
    <col min="3843" max="3843" width="42.8515625" style="357" customWidth="1"/>
    <col min="3844" max="3844" width="5.421875" style="357" customWidth="1"/>
    <col min="3845" max="3845" width="7.7109375" style="357" customWidth="1"/>
    <col min="3846" max="3846" width="10.140625" style="357" customWidth="1"/>
    <col min="3847" max="3847" width="12.8515625" style="357" customWidth="1"/>
    <col min="3848" max="3848" width="14.28125" style="357" customWidth="1"/>
    <col min="3849" max="3849" width="11.00390625" style="357" customWidth="1"/>
    <col min="3850" max="3850" width="14.57421875" style="357" customWidth="1"/>
    <col min="3851" max="3851" width="16.57421875" style="357" customWidth="1"/>
    <col min="3852" max="3852" width="75.421875" style="357" customWidth="1"/>
    <col min="3853" max="4096" width="9.140625" style="357" customWidth="1"/>
    <col min="4097" max="4097" width="4.421875" style="357" customWidth="1"/>
    <col min="4098" max="4098" width="14.57421875" style="357" customWidth="1"/>
    <col min="4099" max="4099" width="42.8515625" style="357" customWidth="1"/>
    <col min="4100" max="4100" width="5.421875" style="357" customWidth="1"/>
    <col min="4101" max="4101" width="7.7109375" style="357" customWidth="1"/>
    <col min="4102" max="4102" width="10.140625" style="357" customWidth="1"/>
    <col min="4103" max="4103" width="12.8515625" style="357" customWidth="1"/>
    <col min="4104" max="4104" width="14.28125" style="357" customWidth="1"/>
    <col min="4105" max="4105" width="11.00390625" style="357" customWidth="1"/>
    <col min="4106" max="4106" width="14.57421875" style="357" customWidth="1"/>
    <col min="4107" max="4107" width="16.57421875" style="357" customWidth="1"/>
    <col min="4108" max="4108" width="75.421875" style="357" customWidth="1"/>
    <col min="4109" max="4352" width="9.140625" style="357" customWidth="1"/>
    <col min="4353" max="4353" width="4.421875" style="357" customWidth="1"/>
    <col min="4354" max="4354" width="14.57421875" style="357" customWidth="1"/>
    <col min="4355" max="4355" width="42.8515625" style="357" customWidth="1"/>
    <col min="4356" max="4356" width="5.421875" style="357" customWidth="1"/>
    <col min="4357" max="4357" width="7.7109375" style="357" customWidth="1"/>
    <col min="4358" max="4358" width="10.140625" style="357" customWidth="1"/>
    <col min="4359" max="4359" width="12.8515625" style="357" customWidth="1"/>
    <col min="4360" max="4360" width="14.28125" style="357" customWidth="1"/>
    <col min="4361" max="4361" width="11.00390625" style="357" customWidth="1"/>
    <col min="4362" max="4362" width="14.57421875" style="357" customWidth="1"/>
    <col min="4363" max="4363" width="16.57421875" style="357" customWidth="1"/>
    <col min="4364" max="4364" width="75.421875" style="357" customWidth="1"/>
    <col min="4365" max="4608" width="9.140625" style="357" customWidth="1"/>
    <col min="4609" max="4609" width="4.421875" style="357" customWidth="1"/>
    <col min="4610" max="4610" width="14.57421875" style="357" customWidth="1"/>
    <col min="4611" max="4611" width="42.8515625" style="357" customWidth="1"/>
    <col min="4612" max="4612" width="5.421875" style="357" customWidth="1"/>
    <col min="4613" max="4613" width="7.7109375" style="357" customWidth="1"/>
    <col min="4614" max="4614" width="10.140625" style="357" customWidth="1"/>
    <col min="4615" max="4615" width="12.8515625" style="357" customWidth="1"/>
    <col min="4616" max="4616" width="14.28125" style="357" customWidth="1"/>
    <col min="4617" max="4617" width="11.00390625" style="357" customWidth="1"/>
    <col min="4618" max="4618" width="14.57421875" style="357" customWidth="1"/>
    <col min="4619" max="4619" width="16.57421875" style="357" customWidth="1"/>
    <col min="4620" max="4620" width="75.421875" style="357" customWidth="1"/>
    <col min="4621" max="4864" width="9.140625" style="357" customWidth="1"/>
    <col min="4865" max="4865" width="4.421875" style="357" customWidth="1"/>
    <col min="4866" max="4866" width="14.57421875" style="357" customWidth="1"/>
    <col min="4867" max="4867" width="42.8515625" style="357" customWidth="1"/>
    <col min="4868" max="4868" width="5.421875" style="357" customWidth="1"/>
    <col min="4869" max="4869" width="7.7109375" style="357" customWidth="1"/>
    <col min="4870" max="4870" width="10.140625" style="357" customWidth="1"/>
    <col min="4871" max="4871" width="12.8515625" style="357" customWidth="1"/>
    <col min="4872" max="4872" width="14.28125" style="357" customWidth="1"/>
    <col min="4873" max="4873" width="11.00390625" style="357" customWidth="1"/>
    <col min="4874" max="4874" width="14.57421875" style="357" customWidth="1"/>
    <col min="4875" max="4875" width="16.57421875" style="357" customWidth="1"/>
    <col min="4876" max="4876" width="75.421875" style="357" customWidth="1"/>
    <col min="4877" max="5120" width="9.140625" style="357" customWidth="1"/>
    <col min="5121" max="5121" width="4.421875" style="357" customWidth="1"/>
    <col min="5122" max="5122" width="14.57421875" style="357" customWidth="1"/>
    <col min="5123" max="5123" width="42.8515625" style="357" customWidth="1"/>
    <col min="5124" max="5124" width="5.421875" style="357" customWidth="1"/>
    <col min="5125" max="5125" width="7.7109375" style="357" customWidth="1"/>
    <col min="5126" max="5126" width="10.140625" style="357" customWidth="1"/>
    <col min="5127" max="5127" width="12.8515625" style="357" customWidth="1"/>
    <col min="5128" max="5128" width="14.28125" style="357" customWidth="1"/>
    <col min="5129" max="5129" width="11.00390625" style="357" customWidth="1"/>
    <col min="5130" max="5130" width="14.57421875" style="357" customWidth="1"/>
    <col min="5131" max="5131" width="16.57421875" style="357" customWidth="1"/>
    <col min="5132" max="5132" width="75.421875" style="357" customWidth="1"/>
    <col min="5133" max="5376" width="9.140625" style="357" customWidth="1"/>
    <col min="5377" max="5377" width="4.421875" style="357" customWidth="1"/>
    <col min="5378" max="5378" width="14.57421875" style="357" customWidth="1"/>
    <col min="5379" max="5379" width="42.8515625" style="357" customWidth="1"/>
    <col min="5380" max="5380" width="5.421875" style="357" customWidth="1"/>
    <col min="5381" max="5381" width="7.7109375" style="357" customWidth="1"/>
    <col min="5382" max="5382" width="10.140625" style="357" customWidth="1"/>
    <col min="5383" max="5383" width="12.8515625" style="357" customWidth="1"/>
    <col min="5384" max="5384" width="14.28125" style="357" customWidth="1"/>
    <col min="5385" max="5385" width="11.00390625" style="357" customWidth="1"/>
    <col min="5386" max="5386" width="14.57421875" style="357" customWidth="1"/>
    <col min="5387" max="5387" width="16.57421875" style="357" customWidth="1"/>
    <col min="5388" max="5388" width="75.421875" style="357" customWidth="1"/>
    <col min="5389" max="5632" width="9.140625" style="357" customWidth="1"/>
    <col min="5633" max="5633" width="4.421875" style="357" customWidth="1"/>
    <col min="5634" max="5634" width="14.57421875" style="357" customWidth="1"/>
    <col min="5635" max="5635" width="42.8515625" style="357" customWidth="1"/>
    <col min="5636" max="5636" width="5.421875" style="357" customWidth="1"/>
    <col min="5637" max="5637" width="7.7109375" style="357" customWidth="1"/>
    <col min="5638" max="5638" width="10.140625" style="357" customWidth="1"/>
    <col min="5639" max="5639" width="12.8515625" style="357" customWidth="1"/>
    <col min="5640" max="5640" width="14.28125" style="357" customWidth="1"/>
    <col min="5641" max="5641" width="11.00390625" style="357" customWidth="1"/>
    <col min="5642" max="5642" width="14.57421875" style="357" customWidth="1"/>
    <col min="5643" max="5643" width="16.57421875" style="357" customWidth="1"/>
    <col min="5644" max="5644" width="75.421875" style="357" customWidth="1"/>
    <col min="5645" max="5888" width="9.140625" style="357" customWidth="1"/>
    <col min="5889" max="5889" width="4.421875" style="357" customWidth="1"/>
    <col min="5890" max="5890" width="14.57421875" style="357" customWidth="1"/>
    <col min="5891" max="5891" width="42.8515625" style="357" customWidth="1"/>
    <col min="5892" max="5892" width="5.421875" style="357" customWidth="1"/>
    <col min="5893" max="5893" width="7.7109375" style="357" customWidth="1"/>
    <col min="5894" max="5894" width="10.140625" style="357" customWidth="1"/>
    <col min="5895" max="5895" width="12.8515625" style="357" customWidth="1"/>
    <col min="5896" max="5896" width="14.28125" style="357" customWidth="1"/>
    <col min="5897" max="5897" width="11.00390625" style="357" customWidth="1"/>
    <col min="5898" max="5898" width="14.57421875" style="357" customWidth="1"/>
    <col min="5899" max="5899" width="16.57421875" style="357" customWidth="1"/>
    <col min="5900" max="5900" width="75.421875" style="357" customWidth="1"/>
    <col min="5901" max="6144" width="9.140625" style="357" customWidth="1"/>
    <col min="6145" max="6145" width="4.421875" style="357" customWidth="1"/>
    <col min="6146" max="6146" width="14.57421875" style="357" customWidth="1"/>
    <col min="6147" max="6147" width="42.8515625" style="357" customWidth="1"/>
    <col min="6148" max="6148" width="5.421875" style="357" customWidth="1"/>
    <col min="6149" max="6149" width="7.7109375" style="357" customWidth="1"/>
    <col min="6150" max="6150" width="10.140625" style="357" customWidth="1"/>
    <col min="6151" max="6151" width="12.8515625" style="357" customWidth="1"/>
    <col min="6152" max="6152" width="14.28125" style="357" customWidth="1"/>
    <col min="6153" max="6153" width="11.00390625" style="357" customWidth="1"/>
    <col min="6154" max="6154" width="14.57421875" style="357" customWidth="1"/>
    <col min="6155" max="6155" width="16.57421875" style="357" customWidth="1"/>
    <col min="6156" max="6156" width="75.421875" style="357" customWidth="1"/>
    <col min="6157" max="6400" width="9.140625" style="357" customWidth="1"/>
    <col min="6401" max="6401" width="4.421875" style="357" customWidth="1"/>
    <col min="6402" max="6402" width="14.57421875" style="357" customWidth="1"/>
    <col min="6403" max="6403" width="42.8515625" style="357" customWidth="1"/>
    <col min="6404" max="6404" width="5.421875" style="357" customWidth="1"/>
    <col min="6405" max="6405" width="7.7109375" style="357" customWidth="1"/>
    <col min="6406" max="6406" width="10.140625" style="357" customWidth="1"/>
    <col min="6407" max="6407" width="12.8515625" style="357" customWidth="1"/>
    <col min="6408" max="6408" width="14.28125" style="357" customWidth="1"/>
    <col min="6409" max="6409" width="11.00390625" style="357" customWidth="1"/>
    <col min="6410" max="6410" width="14.57421875" style="357" customWidth="1"/>
    <col min="6411" max="6411" width="16.57421875" style="357" customWidth="1"/>
    <col min="6412" max="6412" width="75.421875" style="357" customWidth="1"/>
    <col min="6413" max="6656" width="9.140625" style="357" customWidth="1"/>
    <col min="6657" max="6657" width="4.421875" style="357" customWidth="1"/>
    <col min="6658" max="6658" width="14.57421875" style="357" customWidth="1"/>
    <col min="6659" max="6659" width="42.8515625" style="357" customWidth="1"/>
    <col min="6660" max="6660" width="5.421875" style="357" customWidth="1"/>
    <col min="6661" max="6661" width="7.7109375" style="357" customWidth="1"/>
    <col min="6662" max="6662" width="10.140625" style="357" customWidth="1"/>
    <col min="6663" max="6663" width="12.8515625" style="357" customWidth="1"/>
    <col min="6664" max="6664" width="14.28125" style="357" customWidth="1"/>
    <col min="6665" max="6665" width="11.00390625" style="357" customWidth="1"/>
    <col min="6666" max="6666" width="14.57421875" style="357" customWidth="1"/>
    <col min="6667" max="6667" width="16.57421875" style="357" customWidth="1"/>
    <col min="6668" max="6668" width="75.421875" style="357" customWidth="1"/>
    <col min="6669" max="6912" width="9.140625" style="357" customWidth="1"/>
    <col min="6913" max="6913" width="4.421875" style="357" customWidth="1"/>
    <col min="6914" max="6914" width="14.57421875" style="357" customWidth="1"/>
    <col min="6915" max="6915" width="42.8515625" style="357" customWidth="1"/>
    <col min="6916" max="6916" width="5.421875" style="357" customWidth="1"/>
    <col min="6917" max="6917" width="7.7109375" style="357" customWidth="1"/>
    <col min="6918" max="6918" width="10.140625" style="357" customWidth="1"/>
    <col min="6919" max="6919" width="12.8515625" style="357" customWidth="1"/>
    <col min="6920" max="6920" width="14.28125" style="357" customWidth="1"/>
    <col min="6921" max="6921" width="11.00390625" style="357" customWidth="1"/>
    <col min="6922" max="6922" width="14.57421875" style="357" customWidth="1"/>
    <col min="6923" max="6923" width="16.57421875" style="357" customWidth="1"/>
    <col min="6924" max="6924" width="75.421875" style="357" customWidth="1"/>
    <col min="6925" max="7168" width="9.140625" style="357" customWidth="1"/>
    <col min="7169" max="7169" width="4.421875" style="357" customWidth="1"/>
    <col min="7170" max="7170" width="14.57421875" style="357" customWidth="1"/>
    <col min="7171" max="7171" width="42.8515625" style="357" customWidth="1"/>
    <col min="7172" max="7172" width="5.421875" style="357" customWidth="1"/>
    <col min="7173" max="7173" width="7.7109375" style="357" customWidth="1"/>
    <col min="7174" max="7174" width="10.140625" style="357" customWidth="1"/>
    <col min="7175" max="7175" width="12.8515625" style="357" customWidth="1"/>
    <col min="7176" max="7176" width="14.28125" style="357" customWidth="1"/>
    <col min="7177" max="7177" width="11.00390625" style="357" customWidth="1"/>
    <col min="7178" max="7178" width="14.57421875" style="357" customWidth="1"/>
    <col min="7179" max="7179" width="16.57421875" style="357" customWidth="1"/>
    <col min="7180" max="7180" width="75.421875" style="357" customWidth="1"/>
    <col min="7181" max="7424" width="9.140625" style="357" customWidth="1"/>
    <col min="7425" max="7425" width="4.421875" style="357" customWidth="1"/>
    <col min="7426" max="7426" width="14.57421875" style="357" customWidth="1"/>
    <col min="7427" max="7427" width="42.8515625" style="357" customWidth="1"/>
    <col min="7428" max="7428" width="5.421875" style="357" customWidth="1"/>
    <col min="7429" max="7429" width="7.7109375" style="357" customWidth="1"/>
    <col min="7430" max="7430" width="10.140625" style="357" customWidth="1"/>
    <col min="7431" max="7431" width="12.8515625" style="357" customWidth="1"/>
    <col min="7432" max="7432" width="14.28125" style="357" customWidth="1"/>
    <col min="7433" max="7433" width="11.00390625" style="357" customWidth="1"/>
    <col min="7434" max="7434" width="14.57421875" style="357" customWidth="1"/>
    <col min="7435" max="7435" width="16.57421875" style="357" customWidth="1"/>
    <col min="7436" max="7436" width="75.421875" style="357" customWidth="1"/>
    <col min="7437" max="7680" width="9.140625" style="357" customWidth="1"/>
    <col min="7681" max="7681" width="4.421875" style="357" customWidth="1"/>
    <col min="7682" max="7682" width="14.57421875" style="357" customWidth="1"/>
    <col min="7683" max="7683" width="42.8515625" style="357" customWidth="1"/>
    <col min="7684" max="7684" width="5.421875" style="357" customWidth="1"/>
    <col min="7685" max="7685" width="7.7109375" style="357" customWidth="1"/>
    <col min="7686" max="7686" width="10.140625" style="357" customWidth="1"/>
    <col min="7687" max="7687" width="12.8515625" style="357" customWidth="1"/>
    <col min="7688" max="7688" width="14.28125" style="357" customWidth="1"/>
    <col min="7689" max="7689" width="11.00390625" style="357" customWidth="1"/>
    <col min="7690" max="7690" width="14.57421875" style="357" customWidth="1"/>
    <col min="7691" max="7691" width="16.57421875" style="357" customWidth="1"/>
    <col min="7692" max="7692" width="75.421875" style="357" customWidth="1"/>
    <col min="7693" max="7936" width="9.140625" style="357" customWidth="1"/>
    <col min="7937" max="7937" width="4.421875" style="357" customWidth="1"/>
    <col min="7938" max="7938" width="14.57421875" style="357" customWidth="1"/>
    <col min="7939" max="7939" width="42.8515625" style="357" customWidth="1"/>
    <col min="7940" max="7940" width="5.421875" style="357" customWidth="1"/>
    <col min="7941" max="7941" width="7.7109375" style="357" customWidth="1"/>
    <col min="7942" max="7942" width="10.140625" style="357" customWidth="1"/>
    <col min="7943" max="7943" width="12.8515625" style="357" customWidth="1"/>
    <col min="7944" max="7944" width="14.28125" style="357" customWidth="1"/>
    <col min="7945" max="7945" width="11.00390625" style="357" customWidth="1"/>
    <col min="7946" max="7946" width="14.57421875" style="357" customWidth="1"/>
    <col min="7947" max="7947" width="16.57421875" style="357" customWidth="1"/>
    <col min="7948" max="7948" width="75.421875" style="357" customWidth="1"/>
    <col min="7949" max="8192" width="9.140625" style="357" customWidth="1"/>
    <col min="8193" max="8193" width="4.421875" style="357" customWidth="1"/>
    <col min="8194" max="8194" width="14.57421875" style="357" customWidth="1"/>
    <col min="8195" max="8195" width="42.8515625" style="357" customWidth="1"/>
    <col min="8196" max="8196" width="5.421875" style="357" customWidth="1"/>
    <col min="8197" max="8197" width="7.7109375" style="357" customWidth="1"/>
    <col min="8198" max="8198" width="10.140625" style="357" customWidth="1"/>
    <col min="8199" max="8199" width="12.8515625" style="357" customWidth="1"/>
    <col min="8200" max="8200" width="14.28125" style="357" customWidth="1"/>
    <col min="8201" max="8201" width="11.00390625" style="357" customWidth="1"/>
    <col min="8202" max="8202" width="14.57421875" style="357" customWidth="1"/>
    <col min="8203" max="8203" width="16.57421875" style="357" customWidth="1"/>
    <col min="8204" max="8204" width="75.421875" style="357" customWidth="1"/>
    <col min="8205" max="8448" width="9.140625" style="357" customWidth="1"/>
    <col min="8449" max="8449" width="4.421875" style="357" customWidth="1"/>
    <col min="8450" max="8450" width="14.57421875" style="357" customWidth="1"/>
    <col min="8451" max="8451" width="42.8515625" style="357" customWidth="1"/>
    <col min="8452" max="8452" width="5.421875" style="357" customWidth="1"/>
    <col min="8453" max="8453" width="7.7109375" style="357" customWidth="1"/>
    <col min="8454" max="8454" width="10.140625" style="357" customWidth="1"/>
    <col min="8455" max="8455" width="12.8515625" style="357" customWidth="1"/>
    <col min="8456" max="8456" width="14.28125" style="357" customWidth="1"/>
    <col min="8457" max="8457" width="11.00390625" style="357" customWidth="1"/>
    <col min="8458" max="8458" width="14.57421875" style="357" customWidth="1"/>
    <col min="8459" max="8459" width="16.57421875" style="357" customWidth="1"/>
    <col min="8460" max="8460" width="75.421875" style="357" customWidth="1"/>
    <col min="8461" max="8704" width="9.140625" style="357" customWidth="1"/>
    <col min="8705" max="8705" width="4.421875" style="357" customWidth="1"/>
    <col min="8706" max="8706" width="14.57421875" style="357" customWidth="1"/>
    <col min="8707" max="8707" width="42.8515625" style="357" customWidth="1"/>
    <col min="8708" max="8708" width="5.421875" style="357" customWidth="1"/>
    <col min="8709" max="8709" width="7.7109375" style="357" customWidth="1"/>
    <col min="8710" max="8710" width="10.140625" style="357" customWidth="1"/>
    <col min="8711" max="8711" width="12.8515625" style="357" customWidth="1"/>
    <col min="8712" max="8712" width="14.28125" style="357" customWidth="1"/>
    <col min="8713" max="8713" width="11.00390625" style="357" customWidth="1"/>
    <col min="8714" max="8714" width="14.57421875" style="357" customWidth="1"/>
    <col min="8715" max="8715" width="16.57421875" style="357" customWidth="1"/>
    <col min="8716" max="8716" width="75.421875" style="357" customWidth="1"/>
    <col min="8717" max="8960" width="9.140625" style="357" customWidth="1"/>
    <col min="8961" max="8961" width="4.421875" style="357" customWidth="1"/>
    <col min="8962" max="8962" width="14.57421875" style="357" customWidth="1"/>
    <col min="8963" max="8963" width="42.8515625" style="357" customWidth="1"/>
    <col min="8964" max="8964" width="5.421875" style="357" customWidth="1"/>
    <col min="8965" max="8965" width="7.7109375" style="357" customWidth="1"/>
    <col min="8966" max="8966" width="10.140625" style="357" customWidth="1"/>
    <col min="8967" max="8967" width="12.8515625" style="357" customWidth="1"/>
    <col min="8968" max="8968" width="14.28125" style="357" customWidth="1"/>
    <col min="8969" max="8969" width="11.00390625" style="357" customWidth="1"/>
    <col min="8970" max="8970" width="14.57421875" style="357" customWidth="1"/>
    <col min="8971" max="8971" width="16.57421875" style="357" customWidth="1"/>
    <col min="8972" max="8972" width="75.421875" style="357" customWidth="1"/>
    <col min="8973" max="9216" width="9.140625" style="357" customWidth="1"/>
    <col min="9217" max="9217" width="4.421875" style="357" customWidth="1"/>
    <col min="9218" max="9218" width="14.57421875" style="357" customWidth="1"/>
    <col min="9219" max="9219" width="42.8515625" style="357" customWidth="1"/>
    <col min="9220" max="9220" width="5.421875" style="357" customWidth="1"/>
    <col min="9221" max="9221" width="7.7109375" style="357" customWidth="1"/>
    <col min="9222" max="9222" width="10.140625" style="357" customWidth="1"/>
    <col min="9223" max="9223" width="12.8515625" style="357" customWidth="1"/>
    <col min="9224" max="9224" width="14.28125" style="357" customWidth="1"/>
    <col min="9225" max="9225" width="11.00390625" style="357" customWidth="1"/>
    <col min="9226" max="9226" width="14.57421875" style="357" customWidth="1"/>
    <col min="9227" max="9227" width="16.57421875" style="357" customWidth="1"/>
    <col min="9228" max="9228" width="75.421875" style="357" customWidth="1"/>
    <col min="9229" max="9472" width="9.140625" style="357" customWidth="1"/>
    <col min="9473" max="9473" width="4.421875" style="357" customWidth="1"/>
    <col min="9474" max="9474" width="14.57421875" style="357" customWidth="1"/>
    <col min="9475" max="9475" width="42.8515625" style="357" customWidth="1"/>
    <col min="9476" max="9476" width="5.421875" style="357" customWidth="1"/>
    <col min="9477" max="9477" width="7.7109375" style="357" customWidth="1"/>
    <col min="9478" max="9478" width="10.140625" style="357" customWidth="1"/>
    <col min="9479" max="9479" width="12.8515625" style="357" customWidth="1"/>
    <col min="9480" max="9480" width="14.28125" style="357" customWidth="1"/>
    <col min="9481" max="9481" width="11.00390625" style="357" customWidth="1"/>
    <col min="9482" max="9482" width="14.57421875" style="357" customWidth="1"/>
    <col min="9483" max="9483" width="16.57421875" style="357" customWidth="1"/>
    <col min="9484" max="9484" width="75.421875" style="357" customWidth="1"/>
    <col min="9485" max="9728" width="9.140625" style="357" customWidth="1"/>
    <col min="9729" max="9729" width="4.421875" style="357" customWidth="1"/>
    <col min="9730" max="9730" width="14.57421875" style="357" customWidth="1"/>
    <col min="9731" max="9731" width="42.8515625" style="357" customWidth="1"/>
    <col min="9732" max="9732" width="5.421875" style="357" customWidth="1"/>
    <col min="9733" max="9733" width="7.7109375" style="357" customWidth="1"/>
    <col min="9734" max="9734" width="10.140625" style="357" customWidth="1"/>
    <col min="9735" max="9735" width="12.8515625" style="357" customWidth="1"/>
    <col min="9736" max="9736" width="14.28125" style="357" customWidth="1"/>
    <col min="9737" max="9737" width="11.00390625" style="357" customWidth="1"/>
    <col min="9738" max="9738" width="14.57421875" style="357" customWidth="1"/>
    <col min="9739" max="9739" width="16.57421875" style="357" customWidth="1"/>
    <col min="9740" max="9740" width="75.421875" style="357" customWidth="1"/>
    <col min="9741" max="9984" width="9.140625" style="357" customWidth="1"/>
    <col min="9985" max="9985" width="4.421875" style="357" customWidth="1"/>
    <col min="9986" max="9986" width="14.57421875" style="357" customWidth="1"/>
    <col min="9987" max="9987" width="42.8515625" style="357" customWidth="1"/>
    <col min="9988" max="9988" width="5.421875" style="357" customWidth="1"/>
    <col min="9989" max="9989" width="7.7109375" style="357" customWidth="1"/>
    <col min="9990" max="9990" width="10.140625" style="357" customWidth="1"/>
    <col min="9991" max="9991" width="12.8515625" style="357" customWidth="1"/>
    <col min="9992" max="9992" width="14.28125" style="357" customWidth="1"/>
    <col min="9993" max="9993" width="11.00390625" style="357" customWidth="1"/>
    <col min="9994" max="9994" width="14.57421875" style="357" customWidth="1"/>
    <col min="9995" max="9995" width="16.57421875" style="357" customWidth="1"/>
    <col min="9996" max="9996" width="75.421875" style="357" customWidth="1"/>
    <col min="9997" max="10240" width="9.140625" style="357" customWidth="1"/>
    <col min="10241" max="10241" width="4.421875" style="357" customWidth="1"/>
    <col min="10242" max="10242" width="14.57421875" style="357" customWidth="1"/>
    <col min="10243" max="10243" width="42.8515625" style="357" customWidth="1"/>
    <col min="10244" max="10244" width="5.421875" style="357" customWidth="1"/>
    <col min="10245" max="10245" width="7.7109375" style="357" customWidth="1"/>
    <col min="10246" max="10246" width="10.140625" style="357" customWidth="1"/>
    <col min="10247" max="10247" width="12.8515625" style="357" customWidth="1"/>
    <col min="10248" max="10248" width="14.28125" style="357" customWidth="1"/>
    <col min="10249" max="10249" width="11.00390625" style="357" customWidth="1"/>
    <col min="10250" max="10250" width="14.57421875" style="357" customWidth="1"/>
    <col min="10251" max="10251" width="16.57421875" style="357" customWidth="1"/>
    <col min="10252" max="10252" width="75.421875" style="357" customWidth="1"/>
    <col min="10253" max="10496" width="9.140625" style="357" customWidth="1"/>
    <col min="10497" max="10497" width="4.421875" style="357" customWidth="1"/>
    <col min="10498" max="10498" width="14.57421875" style="357" customWidth="1"/>
    <col min="10499" max="10499" width="42.8515625" style="357" customWidth="1"/>
    <col min="10500" max="10500" width="5.421875" style="357" customWidth="1"/>
    <col min="10501" max="10501" width="7.7109375" style="357" customWidth="1"/>
    <col min="10502" max="10502" width="10.140625" style="357" customWidth="1"/>
    <col min="10503" max="10503" width="12.8515625" style="357" customWidth="1"/>
    <col min="10504" max="10504" width="14.28125" style="357" customWidth="1"/>
    <col min="10505" max="10505" width="11.00390625" style="357" customWidth="1"/>
    <col min="10506" max="10506" width="14.57421875" style="357" customWidth="1"/>
    <col min="10507" max="10507" width="16.57421875" style="357" customWidth="1"/>
    <col min="10508" max="10508" width="75.421875" style="357" customWidth="1"/>
    <col min="10509" max="10752" width="9.140625" style="357" customWidth="1"/>
    <col min="10753" max="10753" width="4.421875" style="357" customWidth="1"/>
    <col min="10754" max="10754" width="14.57421875" style="357" customWidth="1"/>
    <col min="10755" max="10755" width="42.8515625" style="357" customWidth="1"/>
    <col min="10756" max="10756" width="5.421875" style="357" customWidth="1"/>
    <col min="10757" max="10757" width="7.7109375" style="357" customWidth="1"/>
    <col min="10758" max="10758" width="10.140625" style="357" customWidth="1"/>
    <col min="10759" max="10759" width="12.8515625" style="357" customWidth="1"/>
    <col min="10760" max="10760" width="14.28125" style="357" customWidth="1"/>
    <col min="10761" max="10761" width="11.00390625" style="357" customWidth="1"/>
    <col min="10762" max="10762" width="14.57421875" style="357" customWidth="1"/>
    <col min="10763" max="10763" width="16.57421875" style="357" customWidth="1"/>
    <col min="10764" max="10764" width="75.421875" style="357" customWidth="1"/>
    <col min="10765" max="11008" width="9.140625" style="357" customWidth="1"/>
    <col min="11009" max="11009" width="4.421875" style="357" customWidth="1"/>
    <col min="11010" max="11010" width="14.57421875" style="357" customWidth="1"/>
    <col min="11011" max="11011" width="42.8515625" style="357" customWidth="1"/>
    <col min="11012" max="11012" width="5.421875" style="357" customWidth="1"/>
    <col min="11013" max="11013" width="7.7109375" style="357" customWidth="1"/>
    <col min="11014" max="11014" width="10.140625" style="357" customWidth="1"/>
    <col min="11015" max="11015" width="12.8515625" style="357" customWidth="1"/>
    <col min="11016" max="11016" width="14.28125" style="357" customWidth="1"/>
    <col min="11017" max="11017" width="11.00390625" style="357" customWidth="1"/>
    <col min="11018" max="11018" width="14.57421875" style="357" customWidth="1"/>
    <col min="11019" max="11019" width="16.57421875" style="357" customWidth="1"/>
    <col min="11020" max="11020" width="75.421875" style="357" customWidth="1"/>
    <col min="11021" max="11264" width="9.140625" style="357" customWidth="1"/>
    <col min="11265" max="11265" width="4.421875" style="357" customWidth="1"/>
    <col min="11266" max="11266" width="14.57421875" style="357" customWidth="1"/>
    <col min="11267" max="11267" width="42.8515625" style="357" customWidth="1"/>
    <col min="11268" max="11268" width="5.421875" style="357" customWidth="1"/>
    <col min="11269" max="11269" width="7.7109375" style="357" customWidth="1"/>
    <col min="11270" max="11270" width="10.140625" style="357" customWidth="1"/>
    <col min="11271" max="11271" width="12.8515625" style="357" customWidth="1"/>
    <col min="11272" max="11272" width="14.28125" style="357" customWidth="1"/>
    <col min="11273" max="11273" width="11.00390625" style="357" customWidth="1"/>
    <col min="11274" max="11274" width="14.57421875" style="357" customWidth="1"/>
    <col min="11275" max="11275" width="16.57421875" style="357" customWidth="1"/>
    <col min="11276" max="11276" width="75.421875" style="357" customWidth="1"/>
    <col min="11277" max="11520" width="9.140625" style="357" customWidth="1"/>
    <col min="11521" max="11521" width="4.421875" style="357" customWidth="1"/>
    <col min="11522" max="11522" width="14.57421875" style="357" customWidth="1"/>
    <col min="11523" max="11523" width="42.8515625" style="357" customWidth="1"/>
    <col min="11524" max="11524" width="5.421875" style="357" customWidth="1"/>
    <col min="11525" max="11525" width="7.7109375" style="357" customWidth="1"/>
    <col min="11526" max="11526" width="10.140625" style="357" customWidth="1"/>
    <col min="11527" max="11527" width="12.8515625" style="357" customWidth="1"/>
    <col min="11528" max="11528" width="14.28125" style="357" customWidth="1"/>
    <col min="11529" max="11529" width="11.00390625" style="357" customWidth="1"/>
    <col min="11530" max="11530" width="14.57421875" style="357" customWidth="1"/>
    <col min="11531" max="11531" width="16.57421875" style="357" customWidth="1"/>
    <col min="11532" max="11532" width="75.421875" style="357" customWidth="1"/>
    <col min="11533" max="11776" width="9.140625" style="357" customWidth="1"/>
    <col min="11777" max="11777" width="4.421875" style="357" customWidth="1"/>
    <col min="11778" max="11778" width="14.57421875" style="357" customWidth="1"/>
    <col min="11779" max="11779" width="42.8515625" style="357" customWidth="1"/>
    <col min="11780" max="11780" width="5.421875" style="357" customWidth="1"/>
    <col min="11781" max="11781" width="7.7109375" style="357" customWidth="1"/>
    <col min="11782" max="11782" width="10.140625" style="357" customWidth="1"/>
    <col min="11783" max="11783" width="12.8515625" style="357" customWidth="1"/>
    <col min="11784" max="11784" width="14.28125" style="357" customWidth="1"/>
    <col min="11785" max="11785" width="11.00390625" style="357" customWidth="1"/>
    <col min="11786" max="11786" width="14.57421875" style="357" customWidth="1"/>
    <col min="11787" max="11787" width="16.57421875" style="357" customWidth="1"/>
    <col min="11788" max="11788" width="75.421875" style="357" customWidth="1"/>
    <col min="11789" max="12032" width="9.140625" style="357" customWidth="1"/>
    <col min="12033" max="12033" width="4.421875" style="357" customWidth="1"/>
    <col min="12034" max="12034" width="14.57421875" style="357" customWidth="1"/>
    <col min="12035" max="12035" width="42.8515625" style="357" customWidth="1"/>
    <col min="12036" max="12036" width="5.421875" style="357" customWidth="1"/>
    <col min="12037" max="12037" width="7.7109375" style="357" customWidth="1"/>
    <col min="12038" max="12038" width="10.140625" style="357" customWidth="1"/>
    <col min="12039" max="12039" width="12.8515625" style="357" customWidth="1"/>
    <col min="12040" max="12040" width="14.28125" style="357" customWidth="1"/>
    <col min="12041" max="12041" width="11.00390625" style="357" customWidth="1"/>
    <col min="12042" max="12042" width="14.57421875" style="357" customWidth="1"/>
    <col min="12043" max="12043" width="16.57421875" style="357" customWidth="1"/>
    <col min="12044" max="12044" width="75.421875" style="357" customWidth="1"/>
    <col min="12045" max="12288" width="9.140625" style="357" customWidth="1"/>
    <col min="12289" max="12289" width="4.421875" style="357" customWidth="1"/>
    <col min="12290" max="12290" width="14.57421875" style="357" customWidth="1"/>
    <col min="12291" max="12291" width="42.8515625" style="357" customWidth="1"/>
    <col min="12292" max="12292" width="5.421875" style="357" customWidth="1"/>
    <col min="12293" max="12293" width="7.7109375" style="357" customWidth="1"/>
    <col min="12294" max="12294" width="10.140625" style="357" customWidth="1"/>
    <col min="12295" max="12295" width="12.8515625" style="357" customWidth="1"/>
    <col min="12296" max="12296" width="14.28125" style="357" customWidth="1"/>
    <col min="12297" max="12297" width="11.00390625" style="357" customWidth="1"/>
    <col min="12298" max="12298" width="14.57421875" style="357" customWidth="1"/>
    <col min="12299" max="12299" width="16.57421875" style="357" customWidth="1"/>
    <col min="12300" max="12300" width="75.421875" style="357" customWidth="1"/>
    <col min="12301" max="12544" width="9.140625" style="357" customWidth="1"/>
    <col min="12545" max="12545" width="4.421875" style="357" customWidth="1"/>
    <col min="12546" max="12546" width="14.57421875" style="357" customWidth="1"/>
    <col min="12547" max="12547" width="42.8515625" style="357" customWidth="1"/>
    <col min="12548" max="12548" width="5.421875" style="357" customWidth="1"/>
    <col min="12549" max="12549" width="7.7109375" style="357" customWidth="1"/>
    <col min="12550" max="12550" width="10.140625" style="357" customWidth="1"/>
    <col min="12551" max="12551" width="12.8515625" style="357" customWidth="1"/>
    <col min="12552" max="12552" width="14.28125" style="357" customWidth="1"/>
    <col min="12553" max="12553" width="11.00390625" style="357" customWidth="1"/>
    <col min="12554" max="12554" width="14.57421875" style="357" customWidth="1"/>
    <col min="12555" max="12555" width="16.57421875" style="357" customWidth="1"/>
    <col min="12556" max="12556" width="75.421875" style="357" customWidth="1"/>
    <col min="12557" max="12800" width="9.140625" style="357" customWidth="1"/>
    <col min="12801" max="12801" width="4.421875" style="357" customWidth="1"/>
    <col min="12802" max="12802" width="14.57421875" style="357" customWidth="1"/>
    <col min="12803" max="12803" width="42.8515625" style="357" customWidth="1"/>
    <col min="12804" max="12804" width="5.421875" style="357" customWidth="1"/>
    <col min="12805" max="12805" width="7.7109375" style="357" customWidth="1"/>
    <col min="12806" max="12806" width="10.140625" style="357" customWidth="1"/>
    <col min="12807" max="12807" width="12.8515625" style="357" customWidth="1"/>
    <col min="12808" max="12808" width="14.28125" style="357" customWidth="1"/>
    <col min="12809" max="12809" width="11.00390625" style="357" customWidth="1"/>
    <col min="12810" max="12810" width="14.57421875" style="357" customWidth="1"/>
    <col min="12811" max="12811" width="16.57421875" style="357" customWidth="1"/>
    <col min="12812" max="12812" width="75.421875" style="357" customWidth="1"/>
    <col min="12813" max="13056" width="9.140625" style="357" customWidth="1"/>
    <col min="13057" max="13057" width="4.421875" style="357" customWidth="1"/>
    <col min="13058" max="13058" width="14.57421875" style="357" customWidth="1"/>
    <col min="13059" max="13059" width="42.8515625" style="357" customWidth="1"/>
    <col min="13060" max="13060" width="5.421875" style="357" customWidth="1"/>
    <col min="13061" max="13061" width="7.7109375" style="357" customWidth="1"/>
    <col min="13062" max="13062" width="10.140625" style="357" customWidth="1"/>
    <col min="13063" max="13063" width="12.8515625" style="357" customWidth="1"/>
    <col min="13064" max="13064" width="14.28125" style="357" customWidth="1"/>
    <col min="13065" max="13065" width="11.00390625" style="357" customWidth="1"/>
    <col min="13066" max="13066" width="14.57421875" style="357" customWidth="1"/>
    <col min="13067" max="13067" width="16.57421875" style="357" customWidth="1"/>
    <col min="13068" max="13068" width="75.421875" style="357" customWidth="1"/>
    <col min="13069" max="13312" width="9.140625" style="357" customWidth="1"/>
    <col min="13313" max="13313" width="4.421875" style="357" customWidth="1"/>
    <col min="13314" max="13314" width="14.57421875" style="357" customWidth="1"/>
    <col min="13315" max="13315" width="42.8515625" style="357" customWidth="1"/>
    <col min="13316" max="13316" width="5.421875" style="357" customWidth="1"/>
    <col min="13317" max="13317" width="7.7109375" style="357" customWidth="1"/>
    <col min="13318" max="13318" width="10.140625" style="357" customWidth="1"/>
    <col min="13319" max="13319" width="12.8515625" style="357" customWidth="1"/>
    <col min="13320" max="13320" width="14.28125" style="357" customWidth="1"/>
    <col min="13321" max="13321" width="11.00390625" style="357" customWidth="1"/>
    <col min="13322" max="13322" width="14.57421875" style="357" customWidth="1"/>
    <col min="13323" max="13323" width="16.57421875" style="357" customWidth="1"/>
    <col min="13324" max="13324" width="75.421875" style="357" customWidth="1"/>
    <col min="13325" max="13568" width="9.140625" style="357" customWidth="1"/>
    <col min="13569" max="13569" width="4.421875" style="357" customWidth="1"/>
    <col min="13570" max="13570" width="14.57421875" style="357" customWidth="1"/>
    <col min="13571" max="13571" width="42.8515625" style="357" customWidth="1"/>
    <col min="13572" max="13572" width="5.421875" style="357" customWidth="1"/>
    <col min="13573" max="13573" width="7.7109375" style="357" customWidth="1"/>
    <col min="13574" max="13574" width="10.140625" style="357" customWidth="1"/>
    <col min="13575" max="13575" width="12.8515625" style="357" customWidth="1"/>
    <col min="13576" max="13576" width="14.28125" style="357" customWidth="1"/>
    <col min="13577" max="13577" width="11.00390625" style="357" customWidth="1"/>
    <col min="13578" max="13578" width="14.57421875" style="357" customWidth="1"/>
    <col min="13579" max="13579" width="16.57421875" style="357" customWidth="1"/>
    <col min="13580" max="13580" width="75.421875" style="357" customWidth="1"/>
    <col min="13581" max="13824" width="9.140625" style="357" customWidth="1"/>
    <col min="13825" max="13825" width="4.421875" style="357" customWidth="1"/>
    <col min="13826" max="13826" width="14.57421875" style="357" customWidth="1"/>
    <col min="13827" max="13827" width="42.8515625" style="357" customWidth="1"/>
    <col min="13828" max="13828" width="5.421875" style="357" customWidth="1"/>
    <col min="13829" max="13829" width="7.7109375" style="357" customWidth="1"/>
    <col min="13830" max="13830" width="10.140625" style="357" customWidth="1"/>
    <col min="13831" max="13831" width="12.8515625" style="357" customWidth="1"/>
    <col min="13832" max="13832" width="14.28125" style="357" customWidth="1"/>
    <col min="13833" max="13833" width="11.00390625" style="357" customWidth="1"/>
    <col min="13834" max="13834" width="14.57421875" style="357" customWidth="1"/>
    <col min="13835" max="13835" width="16.57421875" style="357" customWidth="1"/>
    <col min="13836" max="13836" width="75.421875" style="357" customWidth="1"/>
    <col min="13837" max="14080" width="9.140625" style="357" customWidth="1"/>
    <col min="14081" max="14081" width="4.421875" style="357" customWidth="1"/>
    <col min="14082" max="14082" width="14.57421875" style="357" customWidth="1"/>
    <col min="14083" max="14083" width="42.8515625" style="357" customWidth="1"/>
    <col min="14084" max="14084" width="5.421875" style="357" customWidth="1"/>
    <col min="14085" max="14085" width="7.7109375" style="357" customWidth="1"/>
    <col min="14086" max="14086" width="10.140625" style="357" customWidth="1"/>
    <col min="14087" max="14087" width="12.8515625" style="357" customWidth="1"/>
    <col min="14088" max="14088" width="14.28125" style="357" customWidth="1"/>
    <col min="14089" max="14089" width="11.00390625" style="357" customWidth="1"/>
    <col min="14090" max="14090" width="14.57421875" style="357" customWidth="1"/>
    <col min="14091" max="14091" width="16.57421875" style="357" customWidth="1"/>
    <col min="14092" max="14092" width="75.421875" style="357" customWidth="1"/>
    <col min="14093" max="14336" width="9.140625" style="357" customWidth="1"/>
    <col min="14337" max="14337" width="4.421875" style="357" customWidth="1"/>
    <col min="14338" max="14338" width="14.57421875" style="357" customWidth="1"/>
    <col min="14339" max="14339" width="42.8515625" style="357" customWidth="1"/>
    <col min="14340" max="14340" width="5.421875" style="357" customWidth="1"/>
    <col min="14341" max="14341" width="7.7109375" style="357" customWidth="1"/>
    <col min="14342" max="14342" width="10.140625" style="357" customWidth="1"/>
    <col min="14343" max="14343" width="12.8515625" style="357" customWidth="1"/>
    <col min="14344" max="14344" width="14.28125" style="357" customWidth="1"/>
    <col min="14345" max="14345" width="11.00390625" style="357" customWidth="1"/>
    <col min="14346" max="14346" width="14.57421875" style="357" customWidth="1"/>
    <col min="14347" max="14347" width="16.57421875" style="357" customWidth="1"/>
    <col min="14348" max="14348" width="75.421875" style="357" customWidth="1"/>
    <col min="14349" max="14592" width="9.140625" style="357" customWidth="1"/>
    <col min="14593" max="14593" width="4.421875" style="357" customWidth="1"/>
    <col min="14594" max="14594" width="14.57421875" style="357" customWidth="1"/>
    <col min="14595" max="14595" width="42.8515625" style="357" customWidth="1"/>
    <col min="14596" max="14596" width="5.421875" style="357" customWidth="1"/>
    <col min="14597" max="14597" width="7.7109375" style="357" customWidth="1"/>
    <col min="14598" max="14598" width="10.140625" style="357" customWidth="1"/>
    <col min="14599" max="14599" width="12.8515625" style="357" customWidth="1"/>
    <col min="14600" max="14600" width="14.28125" style="357" customWidth="1"/>
    <col min="14601" max="14601" width="11.00390625" style="357" customWidth="1"/>
    <col min="14602" max="14602" width="14.57421875" style="357" customWidth="1"/>
    <col min="14603" max="14603" width="16.57421875" style="357" customWidth="1"/>
    <col min="14604" max="14604" width="75.421875" style="357" customWidth="1"/>
    <col min="14605" max="14848" width="9.140625" style="357" customWidth="1"/>
    <col min="14849" max="14849" width="4.421875" style="357" customWidth="1"/>
    <col min="14850" max="14850" width="14.57421875" style="357" customWidth="1"/>
    <col min="14851" max="14851" width="42.8515625" style="357" customWidth="1"/>
    <col min="14852" max="14852" width="5.421875" style="357" customWidth="1"/>
    <col min="14853" max="14853" width="7.7109375" style="357" customWidth="1"/>
    <col min="14854" max="14854" width="10.140625" style="357" customWidth="1"/>
    <col min="14855" max="14855" width="12.8515625" style="357" customWidth="1"/>
    <col min="14856" max="14856" width="14.28125" style="357" customWidth="1"/>
    <col min="14857" max="14857" width="11.00390625" style="357" customWidth="1"/>
    <col min="14858" max="14858" width="14.57421875" style="357" customWidth="1"/>
    <col min="14859" max="14859" width="16.57421875" style="357" customWidth="1"/>
    <col min="14860" max="14860" width="75.421875" style="357" customWidth="1"/>
    <col min="14861" max="15104" width="9.140625" style="357" customWidth="1"/>
    <col min="15105" max="15105" width="4.421875" style="357" customWidth="1"/>
    <col min="15106" max="15106" width="14.57421875" style="357" customWidth="1"/>
    <col min="15107" max="15107" width="42.8515625" style="357" customWidth="1"/>
    <col min="15108" max="15108" width="5.421875" style="357" customWidth="1"/>
    <col min="15109" max="15109" width="7.7109375" style="357" customWidth="1"/>
    <col min="15110" max="15110" width="10.140625" style="357" customWidth="1"/>
    <col min="15111" max="15111" width="12.8515625" style="357" customWidth="1"/>
    <col min="15112" max="15112" width="14.28125" style="357" customWidth="1"/>
    <col min="15113" max="15113" width="11.00390625" style="357" customWidth="1"/>
    <col min="15114" max="15114" width="14.57421875" style="357" customWidth="1"/>
    <col min="15115" max="15115" width="16.57421875" style="357" customWidth="1"/>
    <col min="15116" max="15116" width="75.421875" style="357" customWidth="1"/>
    <col min="15117" max="15360" width="9.140625" style="357" customWidth="1"/>
    <col min="15361" max="15361" width="4.421875" style="357" customWidth="1"/>
    <col min="15362" max="15362" width="14.57421875" style="357" customWidth="1"/>
    <col min="15363" max="15363" width="42.8515625" style="357" customWidth="1"/>
    <col min="15364" max="15364" width="5.421875" style="357" customWidth="1"/>
    <col min="15365" max="15365" width="7.7109375" style="357" customWidth="1"/>
    <col min="15366" max="15366" width="10.140625" style="357" customWidth="1"/>
    <col min="15367" max="15367" width="12.8515625" style="357" customWidth="1"/>
    <col min="15368" max="15368" width="14.28125" style="357" customWidth="1"/>
    <col min="15369" max="15369" width="11.00390625" style="357" customWidth="1"/>
    <col min="15370" max="15370" width="14.57421875" style="357" customWidth="1"/>
    <col min="15371" max="15371" width="16.57421875" style="357" customWidth="1"/>
    <col min="15372" max="15372" width="75.421875" style="357" customWidth="1"/>
    <col min="15373" max="15616" width="9.140625" style="357" customWidth="1"/>
    <col min="15617" max="15617" width="4.421875" style="357" customWidth="1"/>
    <col min="15618" max="15618" width="14.57421875" style="357" customWidth="1"/>
    <col min="15619" max="15619" width="42.8515625" style="357" customWidth="1"/>
    <col min="15620" max="15620" width="5.421875" style="357" customWidth="1"/>
    <col min="15621" max="15621" width="7.7109375" style="357" customWidth="1"/>
    <col min="15622" max="15622" width="10.140625" style="357" customWidth="1"/>
    <col min="15623" max="15623" width="12.8515625" style="357" customWidth="1"/>
    <col min="15624" max="15624" width="14.28125" style="357" customWidth="1"/>
    <col min="15625" max="15625" width="11.00390625" style="357" customWidth="1"/>
    <col min="15626" max="15626" width="14.57421875" style="357" customWidth="1"/>
    <col min="15627" max="15627" width="16.57421875" style="357" customWidth="1"/>
    <col min="15628" max="15628" width="75.421875" style="357" customWidth="1"/>
    <col min="15629" max="15872" width="9.140625" style="357" customWidth="1"/>
    <col min="15873" max="15873" width="4.421875" style="357" customWidth="1"/>
    <col min="15874" max="15874" width="14.57421875" style="357" customWidth="1"/>
    <col min="15875" max="15875" width="42.8515625" style="357" customWidth="1"/>
    <col min="15876" max="15876" width="5.421875" style="357" customWidth="1"/>
    <col min="15877" max="15877" width="7.7109375" style="357" customWidth="1"/>
    <col min="15878" max="15878" width="10.140625" style="357" customWidth="1"/>
    <col min="15879" max="15879" width="12.8515625" style="357" customWidth="1"/>
    <col min="15880" max="15880" width="14.28125" style="357" customWidth="1"/>
    <col min="15881" max="15881" width="11.00390625" style="357" customWidth="1"/>
    <col min="15882" max="15882" width="14.57421875" style="357" customWidth="1"/>
    <col min="15883" max="15883" width="16.57421875" style="357" customWidth="1"/>
    <col min="15884" max="15884" width="75.421875" style="357" customWidth="1"/>
    <col min="15885" max="16128" width="9.140625" style="357" customWidth="1"/>
    <col min="16129" max="16129" width="4.421875" style="357" customWidth="1"/>
    <col min="16130" max="16130" width="14.57421875" style="357" customWidth="1"/>
    <col min="16131" max="16131" width="42.8515625" style="357" customWidth="1"/>
    <col min="16132" max="16132" width="5.421875" style="357" customWidth="1"/>
    <col min="16133" max="16133" width="7.7109375" style="357" customWidth="1"/>
    <col min="16134" max="16134" width="10.140625" style="357" customWidth="1"/>
    <col min="16135" max="16135" width="12.8515625" style="357" customWidth="1"/>
    <col min="16136" max="16136" width="14.28125" style="357" customWidth="1"/>
    <col min="16137" max="16137" width="11.00390625" style="357" customWidth="1"/>
    <col min="16138" max="16138" width="14.57421875" style="357" customWidth="1"/>
    <col min="16139" max="16139" width="16.57421875" style="357" customWidth="1"/>
    <col min="16140" max="16140" width="75.421875" style="357" customWidth="1"/>
    <col min="16141" max="16384" width="9.140625" style="357" customWidth="1"/>
  </cols>
  <sheetData>
    <row r="1" spans="1:15" ht="15.6">
      <c r="A1" s="854" t="s">
        <v>1555</v>
      </c>
      <c r="B1" s="854"/>
      <c r="C1" s="854"/>
      <c r="D1" s="854"/>
      <c r="E1" s="854"/>
      <c r="F1" s="854"/>
      <c r="G1" s="854"/>
      <c r="H1" s="356"/>
      <c r="I1" s="356"/>
      <c r="J1" s="356"/>
      <c r="K1" s="356"/>
      <c r="L1" s="356"/>
      <c r="M1" s="356"/>
      <c r="N1" s="356"/>
      <c r="O1" s="356"/>
    </row>
    <row r="2" spans="1:15" ht="13.5" customHeight="1" thickBot="1">
      <c r="A2" s="358"/>
      <c r="B2" s="359"/>
      <c r="C2" s="360"/>
      <c r="D2" s="360"/>
      <c r="E2" s="361"/>
      <c r="F2" s="360"/>
      <c r="G2" s="360"/>
      <c r="H2" s="356"/>
      <c r="I2" s="356"/>
      <c r="J2" s="356"/>
      <c r="K2" s="356"/>
      <c r="L2" s="356"/>
      <c r="M2" s="356"/>
      <c r="N2" s="356"/>
      <c r="O2" s="356"/>
    </row>
    <row r="3" spans="1:15" ht="15.75" customHeight="1" thickTop="1">
      <c r="A3" s="855" t="s">
        <v>1556</v>
      </c>
      <c r="B3" s="856"/>
      <c r="C3" s="362" t="s">
        <v>1557</v>
      </c>
      <c r="D3" s="363"/>
      <c r="E3" s="364"/>
      <c r="F3" s="364"/>
      <c r="G3" s="365"/>
      <c r="H3" s="356"/>
      <c r="I3" s="356"/>
      <c r="J3" s="356"/>
      <c r="K3" s="356"/>
      <c r="L3" s="356"/>
      <c r="M3" s="356"/>
      <c r="N3" s="356"/>
      <c r="O3" s="356"/>
    </row>
    <row r="4" spans="1:15" ht="13.8" thickBot="1">
      <c r="A4" s="857" t="s">
        <v>1558</v>
      </c>
      <c r="B4" s="858"/>
      <c r="C4" s="366" t="s">
        <v>1559</v>
      </c>
      <c r="D4" s="367"/>
      <c r="E4" s="859"/>
      <c r="F4" s="859"/>
      <c r="G4" s="860"/>
      <c r="H4" s="356"/>
      <c r="I4" s="356"/>
      <c r="J4" s="356"/>
      <c r="K4" s="356"/>
      <c r="L4" s="356"/>
      <c r="M4" s="356"/>
      <c r="N4" s="356"/>
      <c r="O4" s="356"/>
    </row>
    <row r="5" spans="1:15" ht="13.8" thickTop="1">
      <c r="A5" s="368"/>
      <c r="B5" s="358"/>
      <c r="C5" s="358"/>
      <c r="D5" s="358"/>
      <c r="E5" s="369"/>
      <c r="F5" s="358"/>
      <c r="G5" s="358"/>
      <c r="H5" s="356"/>
      <c r="I5" s="356"/>
      <c r="J5" s="356"/>
      <c r="K5" s="356"/>
      <c r="L5" s="356"/>
      <c r="M5" s="356"/>
      <c r="N5" s="356"/>
      <c r="O5" s="356"/>
    </row>
    <row r="6" spans="1:15" ht="15">
      <c r="A6" s="370" t="s">
        <v>1560</v>
      </c>
      <c r="B6" s="371" t="s">
        <v>1561</v>
      </c>
      <c r="C6" s="371" t="s">
        <v>1562</v>
      </c>
      <c r="D6" s="371" t="s">
        <v>80</v>
      </c>
      <c r="E6" s="371" t="s">
        <v>1186</v>
      </c>
      <c r="F6" s="371" t="s">
        <v>1563</v>
      </c>
      <c r="G6" s="372" t="s">
        <v>1564</v>
      </c>
      <c r="H6" s="356"/>
      <c r="I6" s="356"/>
      <c r="J6" s="356"/>
      <c r="K6" s="356"/>
      <c r="L6" s="356"/>
      <c r="M6" s="356"/>
      <c r="N6" s="356"/>
      <c r="O6" s="356"/>
    </row>
    <row r="7" spans="1:15" ht="15">
      <c r="A7" s="373" t="s">
        <v>1565</v>
      </c>
      <c r="B7" s="374" t="s">
        <v>106</v>
      </c>
      <c r="C7" s="374" t="s">
        <v>1507</v>
      </c>
      <c r="D7" s="374"/>
      <c r="E7" s="375"/>
      <c r="F7" s="375"/>
      <c r="G7" s="376"/>
      <c r="H7" s="356"/>
      <c r="I7" s="356"/>
      <c r="J7" s="356"/>
      <c r="K7" s="356"/>
      <c r="L7" s="356"/>
      <c r="M7" s="356"/>
      <c r="N7" s="356"/>
      <c r="O7" s="356"/>
    </row>
    <row r="8" spans="1:15" ht="15">
      <c r="A8" s="861">
        <v>1</v>
      </c>
      <c r="B8" s="377"/>
      <c r="C8" s="378" t="s">
        <v>1566</v>
      </c>
      <c r="D8" s="379" t="s">
        <v>253</v>
      </c>
      <c r="E8" s="380">
        <f>E9+E10</f>
        <v>224.695</v>
      </c>
      <c r="F8" s="381"/>
      <c r="G8" s="864">
        <f>E8*F8</f>
        <v>0</v>
      </c>
      <c r="H8" s="356"/>
      <c r="I8" s="356"/>
      <c r="J8" s="356"/>
      <c r="K8" s="356"/>
      <c r="L8" s="356"/>
      <c r="M8" s="356"/>
      <c r="N8" s="356"/>
      <c r="O8" s="356"/>
    </row>
    <row r="9" spans="1:15" ht="15">
      <c r="A9" s="862"/>
      <c r="B9" s="377"/>
      <c r="C9" s="865" t="s">
        <v>1567</v>
      </c>
      <c r="D9" s="866"/>
      <c r="E9" s="382">
        <f>2*48.43*0.65</f>
        <v>62.959</v>
      </c>
      <c r="F9" s="383"/>
      <c r="G9" s="864"/>
      <c r="H9" s="356"/>
      <c r="I9" s="356"/>
      <c r="J9" s="356"/>
      <c r="K9" s="356"/>
      <c r="L9" s="356"/>
      <c r="M9" s="356"/>
      <c r="N9" s="356"/>
      <c r="O9" s="356"/>
    </row>
    <row r="10" spans="1:15" ht="15">
      <c r="A10" s="863"/>
      <c r="B10" s="377"/>
      <c r="C10" s="865" t="s">
        <v>1568</v>
      </c>
      <c r="D10" s="866"/>
      <c r="E10" s="382">
        <f>12*4.6*2.93</f>
        <v>161.736</v>
      </c>
      <c r="F10" s="383"/>
      <c r="G10" s="864"/>
      <c r="H10" s="356"/>
      <c r="I10" s="356"/>
      <c r="J10" s="356"/>
      <c r="K10" s="356"/>
      <c r="L10" s="356"/>
      <c r="M10" s="356"/>
      <c r="N10" s="356"/>
      <c r="O10" s="356"/>
    </row>
    <row r="11" spans="1:15" ht="15">
      <c r="A11" s="384" t="s">
        <v>114</v>
      </c>
      <c r="B11" s="385"/>
      <c r="C11" s="386" t="s">
        <v>1569</v>
      </c>
      <c r="D11" s="387" t="s">
        <v>253</v>
      </c>
      <c r="E11" s="388">
        <f>E8</f>
        <v>224.695</v>
      </c>
      <c r="F11" s="389"/>
      <c r="G11" s="388">
        <f>E11*F11</f>
        <v>0</v>
      </c>
      <c r="H11" s="356"/>
      <c r="I11" s="356"/>
      <c r="J11" s="356"/>
      <c r="K11" s="356"/>
      <c r="L11" s="356"/>
      <c r="M11" s="356"/>
      <c r="N11" s="356"/>
      <c r="O11" s="356"/>
    </row>
    <row r="12" spans="1:15" ht="15">
      <c r="A12" s="867" t="s">
        <v>117</v>
      </c>
      <c r="B12" s="390"/>
      <c r="C12" s="391" t="s">
        <v>1570</v>
      </c>
      <c r="D12" s="392" t="s">
        <v>253</v>
      </c>
      <c r="E12" s="393">
        <f>SUM(E13:E16)</f>
        <v>144.2125</v>
      </c>
      <c r="F12" s="394"/>
      <c r="G12" s="869">
        <f>E12*F12</f>
        <v>0</v>
      </c>
      <c r="H12" s="356"/>
      <c r="I12" s="356"/>
      <c r="J12" s="356"/>
      <c r="K12" s="356"/>
      <c r="L12" s="356"/>
      <c r="M12" s="356"/>
      <c r="N12" s="356"/>
      <c r="O12" s="356"/>
    </row>
    <row r="13" spans="1:15" ht="15">
      <c r="A13" s="868"/>
      <c r="B13" s="390"/>
      <c r="C13" s="865" t="s">
        <v>1571</v>
      </c>
      <c r="D13" s="866"/>
      <c r="E13" s="382">
        <f>((13+24.7)*1+(10+6)*0.6)*0.8</f>
        <v>37.84</v>
      </c>
      <c r="F13" s="383"/>
      <c r="G13" s="864"/>
      <c r="H13" s="356"/>
      <c r="I13" s="356"/>
      <c r="J13" s="356"/>
      <c r="K13" s="356"/>
      <c r="L13" s="356"/>
      <c r="M13" s="356"/>
      <c r="N13" s="356"/>
      <c r="O13" s="356"/>
    </row>
    <row r="14" spans="1:15" ht="15">
      <c r="A14" s="868"/>
      <c r="B14" s="390"/>
      <c r="C14" s="865" t="s">
        <v>1572</v>
      </c>
      <c r="D14" s="866"/>
      <c r="E14" s="382">
        <f>169*0.3*0.8</f>
        <v>40.56</v>
      </c>
      <c r="F14" s="383"/>
      <c r="G14" s="864"/>
      <c r="H14" s="356"/>
      <c r="I14" s="356"/>
      <c r="J14" s="356"/>
      <c r="K14" s="356"/>
      <c r="L14" s="356"/>
      <c r="M14" s="356"/>
      <c r="N14" s="356"/>
      <c r="O14" s="356"/>
    </row>
    <row r="15" spans="1:15" ht="15">
      <c r="A15" s="868"/>
      <c r="B15" s="390"/>
      <c r="C15" s="865" t="s">
        <v>1573</v>
      </c>
      <c r="D15" s="866"/>
      <c r="E15" s="382">
        <f>55*0.5*0.85</f>
        <v>23.375</v>
      </c>
      <c r="F15" s="383"/>
      <c r="G15" s="864"/>
      <c r="H15" s="356"/>
      <c r="I15" s="356"/>
      <c r="J15" s="356"/>
      <c r="K15" s="356"/>
      <c r="L15" s="356"/>
      <c r="M15" s="356"/>
      <c r="N15" s="356"/>
      <c r="O15" s="356"/>
    </row>
    <row r="16" spans="1:15" ht="15">
      <c r="A16" s="868"/>
      <c r="B16" s="390"/>
      <c r="C16" s="865" t="s">
        <v>1574</v>
      </c>
      <c r="D16" s="866"/>
      <c r="E16" s="382">
        <f>48.5*0.5*1.75</f>
        <v>42.4375</v>
      </c>
      <c r="F16" s="383"/>
      <c r="G16" s="864"/>
      <c r="H16" s="356"/>
      <c r="I16" s="356"/>
      <c r="J16" s="356"/>
      <c r="K16" s="356"/>
      <c r="L16" s="356"/>
      <c r="M16" s="356"/>
      <c r="N16" s="356"/>
      <c r="O16" s="356"/>
    </row>
    <row r="17" spans="1:15" ht="15">
      <c r="A17" s="384" t="s">
        <v>121</v>
      </c>
      <c r="B17" s="395"/>
      <c r="C17" s="386" t="s">
        <v>1575</v>
      </c>
      <c r="D17" s="387" t="s">
        <v>253</v>
      </c>
      <c r="E17" s="396">
        <f>E12</f>
        <v>144.2125</v>
      </c>
      <c r="F17" s="394"/>
      <c r="G17" s="388">
        <f>E17*F17</f>
        <v>0</v>
      </c>
      <c r="H17" s="356"/>
      <c r="I17" s="356"/>
      <c r="J17" s="356"/>
      <c r="K17" s="356"/>
      <c r="L17" s="356"/>
      <c r="M17" s="356"/>
      <c r="N17" s="356"/>
      <c r="O17" s="356"/>
    </row>
    <row r="18" spans="1:15" ht="15">
      <c r="A18" s="861">
        <v>5</v>
      </c>
      <c r="B18" s="395"/>
      <c r="C18" s="386" t="s">
        <v>1576</v>
      </c>
      <c r="D18" s="397" t="s">
        <v>253</v>
      </c>
      <c r="E18" s="393">
        <f>SUM(E19:E22)</f>
        <v>14.975000000000001</v>
      </c>
      <c r="F18" s="872"/>
      <c r="G18" s="869">
        <f>E18*F18</f>
        <v>0</v>
      </c>
      <c r="H18" s="356"/>
      <c r="I18" s="356"/>
      <c r="J18" s="356"/>
      <c r="K18" s="356"/>
      <c r="L18" s="356"/>
      <c r="M18" s="356"/>
      <c r="N18" s="356"/>
      <c r="O18" s="356"/>
    </row>
    <row r="19" spans="1:15" ht="15">
      <c r="A19" s="870"/>
      <c r="B19" s="390"/>
      <c r="C19" s="865" t="s">
        <v>1577</v>
      </c>
      <c r="D19" s="866"/>
      <c r="E19" s="382">
        <f>((13+24.7)*1+(10+6)*0.6)*0.1</f>
        <v>4.73</v>
      </c>
      <c r="F19" s="873"/>
      <c r="G19" s="864"/>
      <c r="H19" s="356"/>
      <c r="I19" s="356"/>
      <c r="J19" s="356"/>
      <c r="K19" s="356"/>
      <c r="L19" s="356"/>
      <c r="M19" s="356"/>
      <c r="N19" s="356"/>
      <c r="O19" s="356"/>
    </row>
    <row r="20" spans="1:15" ht="15">
      <c r="A20" s="870"/>
      <c r="B20" s="390"/>
      <c r="C20" s="865" t="s">
        <v>1578</v>
      </c>
      <c r="D20" s="866"/>
      <c r="E20" s="382">
        <f>169*0.3*0.1</f>
        <v>5.07</v>
      </c>
      <c r="F20" s="873"/>
      <c r="G20" s="864"/>
      <c r="H20" s="356"/>
      <c r="I20" s="356"/>
      <c r="J20" s="356"/>
      <c r="K20" s="356"/>
      <c r="L20" s="356"/>
      <c r="M20" s="356"/>
      <c r="N20" s="356"/>
      <c r="O20" s="356"/>
    </row>
    <row r="21" spans="1:15" ht="15">
      <c r="A21" s="870"/>
      <c r="B21" s="390"/>
      <c r="C21" s="865" t="s">
        <v>1579</v>
      </c>
      <c r="D21" s="866"/>
      <c r="E21" s="382">
        <f>55*0.5*0.1</f>
        <v>2.75</v>
      </c>
      <c r="F21" s="873"/>
      <c r="G21" s="864"/>
      <c r="H21" s="356"/>
      <c r="I21" s="356"/>
      <c r="J21" s="356"/>
      <c r="K21" s="356"/>
      <c r="L21" s="356"/>
      <c r="M21" s="356"/>
      <c r="N21" s="356"/>
      <c r="O21" s="356"/>
    </row>
    <row r="22" spans="1:15" ht="15">
      <c r="A22" s="871"/>
      <c r="B22" s="390"/>
      <c r="C22" s="865" t="s">
        <v>1580</v>
      </c>
      <c r="D22" s="866"/>
      <c r="E22" s="382">
        <f>48.5*0.5*0.1</f>
        <v>2.4250000000000003</v>
      </c>
      <c r="F22" s="873"/>
      <c r="G22" s="864"/>
      <c r="H22" s="356"/>
      <c r="I22" s="356"/>
      <c r="J22" s="356"/>
      <c r="K22" s="356"/>
      <c r="L22" s="356"/>
      <c r="M22" s="356"/>
      <c r="N22" s="356"/>
      <c r="O22" s="356"/>
    </row>
    <row r="23" spans="1:15" ht="20.4">
      <c r="A23" s="861">
        <v>6</v>
      </c>
      <c r="B23" s="398"/>
      <c r="C23" s="386" t="s">
        <v>1581</v>
      </c>
      <c r="D23" s="399" t="s">
        <v>1582</v>
      </c>
      <c r="E23" s="393">
        <f>SUM(E24:E27)</f>
        <v>22.4625</v>
      </c>
      <c r="F23" s="874"/>
      <c r="G23" s="869">
        <f>E23*F23</f>
        <v>0</v>
      </c>
      <c r="H23" s="356"/>
      <c r="I23" s="356"/>
      <c r="J23" s="356"/>
      <c r="K23" s="356"/>
      <c r="L23" s="356"/>
      <c r="M23" s="356"/>
      <c r="N23" s="356"/>
      <c r="O23" s="356"/>
    </row>
    <row r="24" spans="1:15" ht="15">
      <c r="A24" s="870"/>
      <c r="B24" s="400"/>
      <c r="C24" s="865" t="s">
        <v>1583</v>
      </c>
      <c r="D24" s="866"/>
      <c r="E24" s="382">
        <f>((13+24.7)*1+(10+6)*0.6)*0.15</f>
        <v>7.095000000000001</v>
      </c>
      <c r="F24" s="875"/>
      <c r="G24" s="864"/>
      <c r="H24" s="356"/>
      <c r="I24" s="356"/>
      <c r="J24" s="356"/>
      <c r="K24" s="356"/>
      <c r="L24" s="356"/>
      <c r="M24" s="356"/>
      <c r="N24" s="356"/>
      <c r="O24" s="356"/>
    </row>
    <row r="25" spans="1:15" ht="15">
      <c r="A25" s="870"/>
      <c r="B25" s="400"/>
      <c r="C25" s="865" t="s">
        <v>1584</v>
      </c>
      <c r="D25" s="866"/>
      <c r="E25" s="382">
        <f>169*0.3*0.15</f>
        <v>7.604999999999999</v>
      </c>
      <c r="F25" s="875"/>
      <c r="G25" s="864"/>
      <c r="H25" s="356"/>
      <c r="I25" s="356"/>
      <c r="J25" s="356"/>
      <c r="K25" s="356"/>
      <c r="L25" s="356"/>
      <c r="M25" s="356"/>
      <c r="N25" s="356"/>
      <c r="O25" s="356"/>
    </row>
    <row r="26" spans="1:15" ht="15">
      <c r="A26" s="870"/>
      <c r="B26" s="400"/>
      <c r="C26" s="865" t="s">
        <v>1585</v>
      </c>
      <c r="D26" s="866"/>
      <c r="E26" s="382">
        <f>55*0.5*0.15</f>
        <v>4.125</v>
      </c>
      <c r="F26" s="875"/>
      <c r="G26" s="864"/>
      <c r="H26" s="356"/>
      <c r="I26" s="356"/>
      <c r="J26" s="356"/>
      <c r="K26" s="356"/>
      <c r="L26" s="356"/>
      <c r="M26" s="356"/>
      <c r="N26" s="356"/>
      <c r="O26" s="356"/>
    </row>
    <row r="27" spans="1:15" ht="15">
      <c r="A27" s="871"/>
      <c r="B27" s="400"/>
      <c r="C27" s="865" t="s">
        <v>1586</v>
      </c>
      <c r="D27" s="866"/>
      <c r="E27" s="382">
        <f>48.5*0.5*0.15</f>
        <v>3.6374999999999997</v>
      </c>
      <c r="F27" s="875"/>
      <c r="G27" s="864"/>
      <c r="H27" s="356"/>
      <c r="I27" s="356"/>
      <c r="J27" s="356"/>
      <c r="K27" s="356"/>
      <c r="L27" s="356"/>
      <c r="M27" s="356"/>
      <c r="N27" s="356"/>
      <c r="O27" s="356"/>
    </row>
    <row r="28" spans="1:15" ht="15">
      <c r="A28" s="861">
        <v>7</v>
      </c>
      <c r="B28" s="395"/>
      <c r="C28" s="386" t="s">
        <v>1587</v>
      </c>
      <c r="D28" s="397" t="s">
        <v>253</v>
      </c>
      <c r="E28" s="393">
        <f>SUM(E29:E33)</f>
        <v>206.71436999999997</v>
      </c>
      <c r="F28" s="394"/>
      <c r="G28" s="401">
        <f>E28*F28</f>
        <v>0</v>
      </c>
      <c r="H28" s="356"/>
      <c r="I28" s="356"/>
      <c r="J28" s="356"/>
      <c r="K28" s="356"/>
      <c r="L28" s="356"/>
      <c r="M28" s="356"/>
      <c r="N28" s="356"/>
      <c r="O28" s="356"/>
    </row>
    <row r="29" spans="1:15" ht="15">
      <c r="A29" s="870"/>
      <c r="B29" s="390"/>
      <c r="C29" s="865" t="s">
        <v>1588</v>
      </c>
      <c r="D29" s="866"/>
      <c r="E29" s="382">
        <f>12*4.6*2.93-8.05*2.62*2.93</f>
        <v>99.93936999999998</v>
      </c>
      <c r="F29" s="383"/>
      <c r="G29" s="402"/>
      <c r="H29" s="356"/>
      <c r="I29" s="356"/>
      <c r="J29" s="356"/>
      <c r="K29" s="356"/>
      <c r="L29" s="356"/>
      <c r="M29" s="356"/>
      <c r="N29" s="356"/>
      <c r="O29" s="356"/>
    </row>
    <row r="30" spans="1:15" ht="15">
      <c r="A30" s="870"/>
      <c r="B30" s="390"/>
      <c r="C30" s="865" t="s">
        <v>1589</v>
      </c>
      <c r="D30" s="866"/>
      <c r="E30" s="382">
        <f>((13+24.7)*1+(10+6)*0.6)*0.55</f>
        <v>26.015000000000004</v>
      </c>
      <c r="F30" s="383"/>
      <c r="G30" s="402"/>
      <c r="H30" s="356"/>
      <c r="I30" s="356"/>
      <c r="J30" s="356"/>
      <c r="K30" s="356"/>
      <c r="L30" s="356"/>
      <c r="M30" s="356"/>
      <c r="N30" s="356"/>
      <c r="O30" s="356"/>
    </row>
    <row r="31" spans="1:15" ht="15">
      <c r="A31" s="870"/>
      <c r="B31" s="390"/>
      <c r="C31" s="865" t="s">
        <v>1590</v>
      </c>
      <c r="D31" s="866"/>
      <c r="E31" s="382">
        <f>169*0.3*0.55</f>
        <v>27.885</v>
      </c>
      <c r="F31" s="383"/>
      <c r="G31" s="402"/>
      <c r="H31" s="356"/>
      <c r="I31" s="356"/>
      <c r="J31" s="356"/>
      <c r="K31" s="356"/>
      <c r="L31" s="356"/>
      <c r="M31" s="356"/>
      <c r="N31" s="356"/>
      <c r="O31" s="356"/>
    </row>
    <row r="32" spans="1:15" ht="15">
      <c r="A32" s="870"/>
      <c r="B32" s="390"/>
      <c r="C32" s="865" t="s">
        <v>1591</v>
      </c>
      <c r="D32" s="866"/>
      <c r="E32" s="382">
        <f>55*0.5*0.6</f>
        <v>16.5</v>
      </c>
      <c r="F32" s="383"/>
      <c r="G32" s="402"/>
      <c r="H32" s="356"/>
      <c r="I32" s="356"/>
      <c r="J32" s="356"/>
      <c r="K32" s="356"/>
      <c r="L32" s="356"/>
      <c r="M32" s="356"/>
      <c r="N32" s="356"/>
      <c r="O32" s="356"/>
    </row>
    <row r="33" spans="1:15" ht="12.75" customHeight="1">
      <c r="A33" s="871"/>
      <c r="B33" s="390"/>
      <c r="C33" s="865" t="s">
        <v>1592</v>
      </c>
      <c r="D33" s="866"/>
      <c r="E33" s="382">
        <f>48.5*0.5*1.5</f>
        <v>36.375</v>
      </c>
      <c r="F33" s="383"/>
      <c r="G33" s="402"/>
      <c r="H33" s="356"/>
      <c r="I33" s="356"/>
      <c r="J33" s="356"/>
      <c r="K33" s="356"/>
      <c r="L33" s="356"/>
      <c r="M33" s="356"/>
      <c r="N33" s="356"/>
      <c r="O33" s="356"/>
    </row>
    <row r="34" spans="1:15" ht="15">
      <c r="A34" s="861">
        <v>8</v>
      </c>
      <c r="B34" s="395"/>
      <c r="C34" s="386" t="s">
        <v>1593</v>
      </c>
      <c r="D34" s="403" t="s">
        <v>253</v>
      </c>
      <c r="E34" s="393">
        <f>SUM(E35:E40)</f>
        <v>162.19313000000002</v>
      </c>
      <c r="F34" s="404"/>
      <c r="G34" s="401">
        <f>E34*F34</f>
        <v>0</v>
      </c>
      <c r="H34" s="356"/>
      <c r="I34" s="356"/>
      <c r="J34" s="356"/>
      <c r="K34" s="356"/>
      <c r="L34" s="356"/>
      <c r="M34" s="356"/>
      <c r="N34" s="356"/>
      <c r="O34" s="356"/>
    </row>
    <row r="35" spans="1:15" ht="15">
      <c r="A35" s="870"/>
      <c r="B35" s="390"/>
      <c r="C35" s="865" t="s">
        <v>1567</v>
      </c>
      <c r="D35" s="866"/>
      <c r="E35" s="382">
        <f>2*48.43*0.65</f>
        <v>62.959</v>
      </c>
      <c r="F35" s="383"/>
      <c r="G35" s="402"/>
      <c r="H35" s="356"/>
      <c r="I35" s="356"/>
      <c r="J35" s="356"/>
      <c r="K35" s="356"/>
      <c r="L35" s="356"/>
      <c r="M35" s="356"/>
      <c r="N35" s="356"/>
      <c r="O35" s="356"/>
    </row>
    <row r="36" spans="1:15" ht="15">
      <c r="A36" s="870"/>
      <c r="B36" s="390"/>
      <c r="C36" s="865" t="s">
        <v>1594</v>
      </c>
      <c r="D36" s="866"/>
      <c r="E36" s="382">
        <f>8.05*2.62*2.93</f>
        <v>61.79663000000001</v>
      </c>
      <c r="F36" s="383"/>
      <c r="G36" s="402"/>
      <c r="H36" s="356"/>
      <c r="I36" s="356"/>
      <c r="J36" s="356"/>
      <c r="K36" s="356"/>
      <c r="L36" s="356"/>
      <c r="M36" s="356"/>
      <c r="N36" s="356"/>
      <c r="O36" s="356"/>
    </row>
    <row r="37" spans="1:15" ht="15">
      <c r="A37" s="870"/>
      <c r="B37" s="390"/>
      <c r="C37" s="865" t="s">
        <v>1595</v>
      </c>
      <c r="D37" s="866"/>
      <c r="E37" s="382">
        <f>((13+24.7)*1+(10+6)*0.6)*0.25</f>
        <v>11.825000000000001</v>
      </c>
      <c r="F37" s="383"/>
      <c r="G37" s="402"/>
      <c r="H37" s="356"/>
      <c r="I37" s="356"/>
      <c r="J37" s="356"/>
      <c r="K37" s="356"/>
      <c r="L37" s="356"/>
      <c r="M37" s="356"/>
      <c r="N37" s="356"/>
      <c r="O37" s="356"/>
    </row>
    <row r="38" spans="1:15" ht="15">
      <c r="A38" s="870"/>
      <c r="B38" s="390"/>
      <c r="C38" s="865" t="s">
        <v>1596</v>
      </c>
      <c r="D38" s="866"/>
      <c r="E38" s="382">
        <f>169*0.3*0.25</f>
        <v>12.674999999999999</v>
      </c>
      <c r="F38" s="383"/>
      <c r="G38" s="402"/>
      <c r="H38" s="356"/>
      <c r="I38" s="356"/>
      <c r="J38" s="356"/>
      <c r="K38" s="356"/>
      <c r="L38" s="356"/>
      <c r="M38" s="356"/>
      <c r="N38" s="356"/>
      <c r="O38" s="356"/>
    </row>
    <row r="39" spans="1:15" ht="15">
      <c r="A39" s="870"/>
      <c r="B39" s="390"/>
      <c r="C39" s="865" t="s">
        <v>1597</v>
      </c>
      <c r="D39" s="866"/>
      <c r="E39" s="382">
        <f>55*0.5*0.25</f>
        <v>6.875</v>
      </c>
      <c r="F39" s="383"/>
      <c r="G39" s="402"/>
      <c r="H39" s="356"/>
      <c r="I39" s="356"/>
      <c r="J39" s="356"/>
      <c r="K39" s="356"/>
      <c r="L39" s="356"/>
      <c r="M39" s="356"/>
      <c r="N39" s="356"/>
      <c r="O39" s="356"/>
    </row>
    <row r="40" spans="1:15" ht="15">
      <c r="A40" s="871"/>
      <c r="B40" s="390"/>
      <c r="C40" s="865" t="s">
        <v>1598</v>
      </c>
      <c r="D40" s="866"/>
      <c r="E40" s="382">
        <f>48.5*0.5*0.25</f>
        <v>6.0625</v>
      </c>
      <c r="F40" s="383"/>
      <c r="G40" s="402"/>
      <c r="H40" s="356"/>
      <c r="I40" s="356"/>
      <c r="J40" s="356"/>
      <c r="K40" s="356"/>
      <c r="L40" s="356"/>
      <c r="M40" s="356"/>
      <c r="N40" s="356"/>
      <c r="O40" s="356"/>
    </row>
    <row r="41" spans="1:15" ht="20.4">
      <c r="A41" s="405">
        <v>9</v>
      </c>
      <c r="B41" s="395"/>
      <c r="C41" s="386" t="s">
        <v>1599</v>
      </c>
      <c r="D41" s="403" t="s">
        <v>253</v>
      </c>
      <c r="E41" s="401">
        <f>E34</f>
        <v>162.19313000000002</v>
      </c>
      <c r="F41" s="404"/>
      <c r="G41" s="388">
        <f>E41*F41</f>
        <v>0</v>
      </c>
      <c r="H41" s="356"/>
      <c r="I41" s="356"/>
      <c r="J41" s="356"/>
      <c r="K41" s="356"/>
      <c r="L41" s="356"/>
      <c r="M41" s="356"/>
      <c r="N41" s="356"/>
      <c r="O41" s="356"/>
    </row>
    <row r="42" spans="1:15" ht="20.4">
      <c r="A42" s="405">
        <v>10</v>
      </c>
      <c r="B42" s="395"/>
      <c r="C42" s="386" t="s">
        <v>1600</v>
      </c>
      <c r="D42" s="403" t="s">
        <v>253</v>
      </c>
      <c r="E42" s="401">
        <f>E34</f>
        <v>162.19313000000002</v>
      </c>
      <c r="F42" s="404"/>
      <c r="G42" s="388">
        <f>E42*F42</f>
        <v>0</v>
      </c>
      <c r="H42" s="356"/>
      <c r="I42" s="356"/>
      <c r="J42" s="356"/>
      <c r="K42" s="356"/>
      <c r="L42" s="356"/>
      <c r="M42" s="356"/>
      <c r="N42" s="356"/>
      <c r="O42" s="356"/>
    </row>
    <row r="43" spans="1:15" ht="20.4">
      <c r="A43" s="405">
        <v>11</v>
      </c>
      <c r="B43" s="395"/>
      <c r="C43" s="406" t="s">
        <v>1601</v>
      </c>
      <c r="D43" s="403" t="s">
        <v>253</v>
      </c>
      <c r="E43" s="401">
        <f>E34</f>
        <v>162.19313000000002</v>
      </c>
      <c r="F43" s="404"/>
      <c r="G43" s="388">
        <f>E43*F43</f>
        <v>0</v>
      </c>
      <c r="H43" s="356"/>
      <c r="I43" s="356"/>
      <c r="J43" s="356"/>
      <c r="K43" s="356"/>
      <c r="L43" s="356"/>
      <c r="M43" s="356"/>
      <c r="N43" s="356"/>
      <c r="O43" s="356"/>
    </row>
    <row r="44" spans="1:15" ht="15">
      <c r="A44" s="405">
        <v>12</v>
      </c>
      <c r="B44" s="407"/>
      <c r="C44" s="408" t="s">
        <v>1602</v>
      </c>
      <c r="D44" s="409" t="s">
        <v>697</v>
      </c>
      <c r="E44" s="396">
        <v>330</v>
      </c>
      <c r="F44" s="394"/>
      <c r="G44" s="388">
        <f>E44*F44</f>
        <v>0</v>
      </c>
      <c r="H44" s="356"/>
      <c r="I44" s="356"/>
      <c r="J44" s="356"/>
      <c r="K44" s="356"/>
      <c r="L44" s="356"/>
      <c r="M44" s="356"/>
      <c r="N44" s="356"/>
      <c r="O44" s="356"/>
    </row>
    <row r="45" spans="1:15" ht="15">
      <c r="A45" s="410"/>
      <c r="B45" s="411" t="s">
        <v>1603</v>
      </c>
      <c r="C45" s="411" t="s">
        <v>1604</v>
      </c>
      <c r="D45" s="411"/>
      <c r="E45" s="412"/>
      <c r="F45" s="412"/>
      <c r="G45" s="413">
        <f>SUM(G8:G44)</f>
        <v>0</v>
      </c>
      <c r="H45" s="356"/>
      <c r="I45" s="356"/>
      <c r="J45" s="356"/>
      <c r="K45" s="356"/>
      <c r="L45" s="356"/>
      <c r="M45" s="356"/>
      <c r="N45" s="356"/>
      <c r="O45" s="356"/>
    </row>
    <row r="46" spans="1:15" ht="15">
      <c r="A46" s="373" t="s">
        <v>1565</v>
      </c>
      <c r="B46" s="374" t="s">
        <v>114</v>
      </c>
      <c r="C46" s="374" t="s">
        <v>1605</v>
      </c>
      <c r="D46" s="374"/>
      <c r="E46" s="375"/>
      <c r="F46" s="375"/>
      <c r="G46" s="376"/>
      <c r="H46" s="356"/>
      <c r="I46" s="356"/>
      <c r="J46" s="356"/>
      <c r="K46" s="356"/>
      <c r="L46" s="356"/>
      <c r="M46" s="356"/>
      <c r="N46" s="356"/>
      <c r="O46" s="356"/>
    </row>
    <row r="47" spans="1:15" ht="15">
      <c r="A47" s="405">
        <v>13</v>
      </c>
      <c r="B47" s="414"/>
      <c r="C47" s="415" t="s">
        <v>1606</v>
      </c>
      <c r="D47" s="416" t="s">
        <v>253</v>
      </c>
      <c r="E47" s="417">
        <f>E48</f>
        <v>25.35</v>
      </c>
      <c r="F47" s="418"/>
      <c r="G47" s="401">
        <f>E47*F47</f>
        <v>0</v>
      </c>
      <c r="H47" s="356"/>
      <c r="I47" s="356"/>
      <c r="J47" s="356"/>
      <c r="K47" s="356"/>
      <c r="L47" s="356"/>
      <c r="M47" s="356"/>
      <c r="N47" s="356"/>
      <c r="O47" s="356"/>
    </row>
    <row r="48" spans="1:15" ht="15">
      <c r="A48" s="419"/>
      <c r="B48" s="420"/>
      <c r="C48" s="876" t="s">
        <v>1607</v>
      </c>
      <c r="D48" s="877"/>
      <c r="E48" s="421">
        <f>2*(48.43*0.1+35.6*0.22)</f>
        <v>25.35</v>
      </c>
      <c r="F48" s="422"/>
      <c r="G48" s="423"/>
      <c r="H48" s="356"/>
      <c r="I48" s="356"/>
      <c r="J48" s="356"/>
      <c r="K48" s="356"/>
      <c r="L48" s="356"/>
      <c r="M48" s="356"/>
      <c r="N48" s="356"/>
      <c r="O48" s="356"/>
    </row>
    <row r="49" spans="1:15" ht="15">
      <c r="A49" s="424">
        <v>14</v>
      </c>
      <c r="B49" s="395"/>
      <c r="C49" s="386" t="s">
        <v>1608</v>
      </c>
      <c r="D49" s="403" t="s">
        <v>253</v>
      </c>
      <c r="E49" s="393">
        <f>SUM(E50:E54)</f>
        <v>12.956499999999998</v>
      </c>
      <c r="F49" s="418"/>
      <c r="G49" s="401">
        <f>E49*F49</f>
        <v>0</v>
      </c>
      <c r="H49" s="356"/>
      <c r="I49" s="356"/>
      <c r="J49" s="356"/>
      <c r="K49" s="356"/>
      <c r="L49" s="356"/>
      <c r="M49" s="356"/>
      <c r="N49" s="356"/>
      <c r="O49" s="356"/>
    </row>
    <row r="50" spans="1:15" ht="15">
      <c r="A50" s="425"/>
      <c r="B50" s="390"/>
      <c r="C50" s="878" t="s">
        <v>1609</v>
      </c>
      <c r="D50" s="879"/>
      <c r="E50" s="426">
        <f>2*48.43*0.1</f>
        <v>9.686</v>
      </c>
      <c r="F50" s="427"/>
      <c r="G50" s="402"/>
      <c r="H50" s="356"/>
      <c r="I50" s="356"/>
      <c r="J50" s="356"/>
      <c r="K50" s="356"/>
      <c r="L50" s="356"/>
      <c r="M50" s="356"/>
      <c r="N50" s="356"/>
      <c r="O50" s="356"/>
    </row>
    <row r="51" spans="1:15" ht="15">
      <c r="A51" s="425"/>
      <c r="B51" s="390"/>
      <c r="C51" s="428" t="s">
        <v>1610</v>
      </c>
      <c r="D51" s="429"/>
      <c r="E51" s="426">
        <f>4*0.6*0.6*0.1</f>
        <v>0.144</v>
      </c>
      <c r="F51" s="427"/>
      <c r="G51" s="402"/>
      <c r="H51" s="356"/>
      <c r="I51" s="356"/>
      <c r="J51" s="356"/>
      <c r="K51" s="356"/>
      <c r="L51" s="356"/>
      <c r="M51" s="356"/>
      <c r="N51" s="356"/>
      <c r="O51" s="356"/>
    </row>
    <row r="52" spans="1:15" ht="15">
      <c r="A52" s="425"/>
      <c r="B52" s="390"/>
      <c r="C52" s="428" t="s">
        <v>1611</v>
      </c>
      <c r="D52" s="429"/>
      <c r="E52" s="426">
        <f>8.25*2.82*0.1</f>
        <v>2.3265</v>
      </c>
      <c r="F52" s="427"/>
      <c r="G52" s="402"/>
      <c r="H52" s="356"/>
      <c r="I52" s="356"/>
      <c r="J52" s="356"/>
      <c r="K52" s="356"/>
      <c r="L52" s="356"/>
      <c r="M52" s="356"/>
      <c r="N52" s="356"/>
      <c r="O52" s="356"/>
    </row>
    <row r="53" spans="1:15" ht="15">
      <c r="A53" s="425"/>
      <c r="B53" s="390"/>
      <c r="C53" s="880" t="s">
        <v>1612</v>
      </c>
      <c r="D53" s="881"/>
      <c r="E53" s="430">
        <f>1.5*4*0.1</f>
        <v>0.6000000000000001</v>
      </c>
      <c r="F53" s="427"/>
      <c r="G53" s="402"/>
      <c r="H53" s="356"/>
      <c r="I53" s="356"/>
      <c r="J53" s="356"/>
      <c r="K53" s="356"/>
      <c r="L53" s="356"/>
      <c r="M53" s="356"/>
      <c r="N53" s="356"/>
      <c r="O53" s="356"/>
    </row>
    <row r="54" spans="1:15" ht="15">
      <c r="A54" s="431"/>
      <c r="B54" s="432"/>
      <c r="C54" s="882" t="s">
        <v>1613</v>
      </c>
      <c r="D54" s="883"/>
      <c r="E54" s="430">
        <f>0.5*4*0.1</f>
        <v>0.2</v>
      </c>
      <c r="F54" s="433"/>
      <c r="G54" s="434"/>
      <c r="H54" s="356"/>
      <c r="I54" s="356"/>
      <c r="J54" s="356"/>
      <c r="K54" s="356"/>
      <c r="L54" s="356"/>
      <c r="M54" s="356"/>
      <c r="N54" s="356"/>
      <c r="O54" s="356"/>
    </row>
    <row r="55" spans="1:15" ht="15">
      <c r="A55" s="861">
        <v>15</v>
      </c>
      <c r="B55" s="884"/>
      <c r="C55" s="386" t="s">
        <v>1614</v>
      </c>
      <c r="D55" s="403" t="s">
        <v>253</v>
      </c>
      <c r="E55" s="393">
        <f>E56+E57</f>
        <v>22.5261</v>
      </c>
      <c r="F55" s="872"/>
      <c r="G55" s="869">
        <f>E55*F55</f>
        <v>0</v>
      </c>
      <c r="H55" s="356"/>
      <c r="I55" s="356"/>
      <c r="J55" s="356"/>
      <c r="K55" s="356"/>
      <c r="L55" s="356"/>
      <c r="M55" s="356"/>
      <c r="N55" s="356"/>
      <c r="O55" s="356"/>
    </row>
    <row r="56" spans="1:15" ht="15">
      <c r="A56" s="862"/>
      <c r="B56" s="885"/>
      <c r="C56" s="428" t="s">
        <v>1615</v>
      </c>
      <c r="D56" s="429"/>
      <c r="E56" s="426">
        <f>2*10.25*1.72*0.235</f>
        <v>8.2861</v>
      </c>
      <c r="F56" s="873"/>
      <c r="G56" s="864"/>
      <c r="H56" s="356"/>
      <c r="I56" s="356"/>
      <c r="J56" s="356"/>
      <c r="K56" s="356"/>
      <c r="L56" s="356"/>
      <c r="M56" s="356"/>
      <c r="N56" s="356"/>
      <c r="O56" s="356"/>
    </row>
    <row r="57" spans="1:15" ht="15">
      <c r="A57" s="862"/>
      <c r="B57" s="885"/>
      <c r="C57" s="428" t="s">
        <v>1616</v>
      </c>
      <c r="D57" s="429"/>
      <c r="E57" s="426">
        <f>2*35.6*0.2</f>
        <v>14.240000000000002</v>
      </c>
      <c r="F57" s="873"/>
      <c r="G57" s="864"/>
      <c r="H57" s="356"/>
      <c r="I57" s="356"/>
      <c r="J57" s="356"/>
      <c r="K57" s="356"/>
      <c r="L57" s="356"/>
      <c r="M57" s="356"/>
      <c r="N57" s="356"/>
      <c r="O57" s="356"/>
    </row>
    <row r="58" spans="1:15" ht="15">
      <c r="A58" s="405">
        <v>16</v>
      </c>
      <c r="B58" s="395"/>
      <c r="C58" s="435" t="s">
        <v>1617</v>
      </c>
      <c r="D58" s="436" t="s">
        <v>132</v>
      </c>
      <c r="E58" s="437">
        <v>0.95</v>
      </c>
      <c r="F58" s="438"/>
      <c r="G58" s="401">
        <f>E58*F58</f>
        <v>0</v>
      </c>
      <c r="H58" s="356"/>
      <c r="I58" s="356"/>
      <c r="J58" s="356"/>
      <c r="K58" s="356"/>
      <c r="L58" s="356"/>
      <c r="M58" s="356"/>
      <c r="N58" s="356"/>
      <c r="O58" s="356"/>
    </row>
    <row r="59" spans="1:15" ht="15">
      <c r="A59" s="861">
        <v>17</v>
      </c>
      <c r="B59" s="886"/>
      <c r="C59" s="439" t="s">
        <v>1618</v>
      </c>
      <c r="D59" s="440" t="s">
        <v>109</v>
      </c>
      <c r="E59" s="393">
        <f>E60+E61</f>
        <v>27.416000000000004</v>
      </c>
      <c r="F59" s="888"/>
      <c r="G59" s="890">
        <f>E59*F59</f>
        <v>0</v>
      </c>
      <c r="H59" s="356"/>
      <c r="I59" s="356"/>
      <c r="J59" s="356"/>
      <c r="K59" s="356"/>
      <c r="L59" s="356"/>
      <c r="M59" s="356"/>
      <c r="N59" s="356"/>
      <c r="O59" s="356"/>
    </row>
    <row r="60" spans="1:15" ht="15">
      <c r="A60" s="862"/>
      <c r="B60" s="887"/>
      <c r="C60" s="428" t="s">
        <v>1619</v>
      </c>
      <c r="D60" s="429"/>
      <c r="E60" s="426">
        <f>2*(2*10.25+2*1.72)*0.3</f>
        <v>14.364</v>
      </c>
      <c r="F60" s="889"/>
      <c r="G60" s="891"/>
      <c r="H60" s="356"/>
      <c r="I60" s="356"/>
      <c r="J60" s="356"/>
      <c r="K60" s="356"/>
      <c r="L60" s="356"/>
      <c r="M60" s="356"/>
      <c r="N60" s="356"/>
      <c r="O60" s="356"/>
    </row>
    <row r="61" spans="1:15" ht="15">
      <c r="A61" s="862"/>
      <c r="B61" s="887"/>
      <c r="C61" s="428" t="s">
        <v>1620</v>
      </c>
      <c r="D61" s="429"/>
      <c r="E61" s="426">
        <f>2*32.63*0.2</f>
        <v>13.052000000000001</v>
      </c>
      <c r="F61" s="889"/>
      <c r="G61" s="891"/>
      <c r="H61" s="356"/>
      <c r="I61" s="356"/>
      <c r="J61" s="356"/>
      <c r="K61" s="356"/>
      <c r="L61" s="356"/>
      <c r="M61" s="356"/>
      <c r="N61" s="356"/>
      <c r="O61" s="356"/>
    </row>
    <row r="62" spans="1:15" ht="15">
      <c r="A62" s="441">
        <v>18</v>
      </c>
      <c r="B62" s="442"/>
      <c r="C62" s="439" t="s">
        <v>1621</v>
      </c>
      <c r="D62" s="443" t="s">
        <v>109</v>
      </c>
      <c r="E62" s="393">
        <f>E59</f>
        <v>27.416000000000004</v>
      </c>
      <c r="F62" s="444"/>
      <c r="G62" s="445">
        <f>E62*F62</f>
        <v>0</v>
      </c>
      <c r="H62" s="356"/>
      <c r="I62" s="356"/>
      <c r="J62" s="356"/>
      <c r="K62" s="356"/>
      <c r="L62" s="356"/>
      <c r="M62" s="356"/>
      <c r="N62" s="356"/>
      <c r="O62" s="356"/>
    </row>
    <row r="63" spans="1:15" ht="13.5" customHeight="1">
      <c r="A63" s="446"/>
      <c r="B63" s="411" t="s">
        <v>1603</v>
      </c>
      <c r="C63" s="411" t="s">
        <v>1622</v>
      </c>
      <c r="D63" s="411"/>
      <c r="E63" s="412"/>
      <c r="F63" s="447"/>
      <c r="G63" s="448">
        <f>SUM(G47:G62)</f>
        <v>0</v>
      </c>
      <c r="H63" s="356"/>
      <c r="I63" s="356"/>
      <c r="J63" s="356"/>
      <c r="K63" s="356"/>
      <c r="L63" s="356"/>
      <c r="M63" s="356"/>
      <c r="N63" s="356"/>
      <c r="O63" s="356"/>
    </row>
    <row r="64" spans="1:15" ht="15">
      <c r="A64" s="373" t="s">
        <v>1565</v>
      </c>
      <c r="B64" s="374" t="s">
        <v>117</v>
      </c>
      <c r="C64" s="374" t="s">
        <v>1623</v>
      </c>
      <c r="D64" s="374"/>
      <c r="E64" s="375"/>
      <c r="F64" s="375"/>
      <c r="G64" s="376"/>
      <c r="H64" s="356"/>
      <c r="I64" s="356"/>
      <c r="J64" s="356"/>
      <c r="K64" s="356"/>
      <c r="L64" s="356"/>
      <c r="M64" s="356"/>
      <c r="N64" s="356"/>
      <c r="O64" s="356"/>
    </row>
    <row r="65" spans="1:15" ht="15">
      <c r="A65" s="861">
        <v>19</v>
      </c>
      <c r="B65" s="892"/>
      <c r="C65" s="449" t="s">
        <v>1624</v>
      </c>
      <c r="D65" s="436" t="s">
        <v>253</v>
      </c>
      <c r="E65" s="393">
        <f>SUM(E66:E69)</f>
        <v>26.08858</v>
      </c>
      <c r="F65" s="450"/>
      <c r="G65" s="451">
        <f>E65*F65</f>
        <v>0</v>
      </c>
      <c r="H65" s="356"/>
      <c r="I65" s="356"/>
      <c r="J65" s="356"/>
      <c r="K65" s="356"/>
      <c r="L65" s="356"/>
      <c r="M65" s="356"/>
      <c r="N65" s="356"/>
      <c r="O65" s="356"/>
    </row>
    <row r="66" spans="1:15" ht="15">
      <c r="A66" s="870"/>
      <c r="B66" s="893"/>
      <c r="C66" s="894" t="s">
        <v>1625</v>
      </c>
      <c r="D66" s="895"/>
      <c r="E66" s="426">
        <f>8.05*2.62*0.2</f>
        <v>4.2182</v>
      </c>
      <c r="F66" s="452"/>
      <c r="G66" s="452"/>
      <c r="H66" s="356"/>
      <c r="I66" s="356"/>
      <c r="J66" s="356"/>
      <c r="K66" s="356"/>
      <c r="L66" s="356"/>
      <c r="M66" s="356"/>
      <c r="N66" s="356"/>
      <c r="O66" s="356"/>
    </row>
    <row r="67" spans="1:15" ht="15">
      <c r="A67" s="870"/>
      <c r="B67" s="893"/>
      <c r="C67" s="896" t="s">
        <v>1626</v>
      </c>
      <c r="D67" s="897"/>
      <c r="E67" s="426">
        <f>2*8.05*2.09*0.3+2*2.62*2.09*0.3+2*2.09*0.4</f>
        <v>15.05218</v>
      </c>
      <c r="F67" s="452"/>
      <c r="G67" s="452"/>
      <c r="H67" s="356"/>
      <c r="I67" s="356"/>
      <c r="J67" s="356"/>
      <c r="K67" s="356"/>
      <c r="L67" s="356"/>
      <c r="M67" s="356"/>
      <c r="N67" s="356"/>
      <c r="O67" s="356"/>
    </row>
    <row r="68" spans="1:15" ht="15">
      <c r="A68" s="870"/>
      <c r="B68" s="893"/>
      <c r="C68" s="894" t="s">
        <v>1627</v>
      </c>
      <c r="D68" s="895"/>
      <c r="E68" s="426">
        <f>8.05*2.62*0.2-0.8*0.8-0.6*0.6</f>
        <v>3.2182000000000004</v>
      </c>
      <c r="F68" s="452"/>
      <c r="G68" s="452"/>
      <c r="H68" s="356"/>
      <c r="I68" s="356"/>
      <c r="J68" s="356"/>
      <c r="K68" s="356"/>
      <c r="L68" s="356"/>
      <c r="M68" s="356"/>
      <c r="N68" s="356"/>
      <c r="O68" s="356"/>
    </row>
    <row r="69" spans="1:15" ht="15">
      <c r="A69" s="870"/>
      <c r="B69" s="893"/>
      <c r="C69" s="894" t="s">
        <v>1628</v>
      </c>
      <c r="D69" s="895"/>
      <c r="E69" s="426">
        <f>4*1.1*0.45+4*0.9*0.45</f>
        <v>3.6000000000000005</v>
      </c>
      <c r="F69" s="452"/>
      <c r="G69" s="452"/>
      <c r="H69" s="356"/>
      <c r="I69" s="356"/>
      <c r="J69" s="356"/>
      <c r="K69" s="356"/>
      <c r="L69" s="356"/>
      <c r="M69" s="356"/>
      <c r="N69" s="356"/>
      <c r="O69" s="356"/>
    </row>
    <row r="70" spans="1:15" ht="15">
      <c r="A70" s="861">
        <v>20</v>
      </c>
      <c r="B70" s="886"/>
      <c r="C70" s="439" t="s">
        <v>1629</v>
      </c>
      <c r="D70" s="440" t="s">
        <v>109</v>
      </c>
      <c r="E70" s="393">
        <f>SUM(E71:E74)</f>
        <v>79.93660000000001</v>
      </c>
      <c r="F70" s="888"/>
      <c r="G70" s="890">
        <f>E70*F70</f>
        <v>0</v>
      </c>
      <c r="H70" s="356"/>
      <c r="I70" s="356"/>
      <c r="J70" s="356"/>
      <c r="K70" s="356"/>
      <c r="L70" s="356"/>
      <c r="M70" s="356"/>
      <c r="N70" s="356"/>
      <c r="O70" s="356"/>
    </row>
    <row r="71" spans="1:15" ht="15">
      <c r="A71" s="870"/>
      <c r="B71" s="887"/>
      <c r="C71" s="865" t="s">
        <v>1630</v>
      </c>
      <c r="D71" s="866"/>
      <c r="E71" s="426">
        <f>(2*8.05+2*2.62)*2.49</f>
        <v>53.136600000000016</v>
      </c>
      <c r="F71" s="889"/>
      <c r="G71" s="891"/>
      <c r="H71" s="356"/>
      <c r="I71" s="356"/>
      <c r="J71" s="356"/>
      <c r="K71" s="356"/>
      <c r="L71" s="356"/>
      <c r="M71" s="356"/>
      <c r="N71" s="356"/>
      <c r="O71" s="356"/>
    </row>
    <row r="72" spans="1:15" ht="15">
      <c r="A72" s="870"/>
      <c r="B72" s="887"/>
      <c r="C72" s="453" t="s">
        <v>1631</v>
      </c>
      <c r="D72" s="454"/>
      <c r="E72" s="426">
        <f>4*1.1*0.45+4*0.9*0.45</f>
        <v>3.6000000000000005</v>
      </c>
      <c r="F72" s="889"/>
      <c r="G72" s="891"/>
      <c r="H72" s="356"/>
      <c r="I72" s="356"/>
      <c r="J72" s="356"/>
      <c r="K72" s="356"/>
      <c r="L72" s="356"/>
      <c r="M72" s="356"/>
      <c r="N72" s="356"/>
      <c r="O72" s="356"/>
    </row>
    <row r="73" spans="1:15" ht="15">
      <c r="A73" s="870"/>
      <c r="B73" s="887"/>
      <c r="C73" s="865" t="s">
        <v>1632</v>
      </c>
      <c r="D73" s="866"/>
      <c r="E73" s="426">
        <f>0.4*(2*5*2+2*2*2+4*2*2)</f>
        <v>17.6</v>
      </c>
      <c r="F73" s="889"/>
      <c r="G73" s="891"/>
      <c r="H73" s="356"/>
      <c r="I73" s="356"/>
      <c r="J73" s="356"/>
      <c r="K73" s="356"/>
      <c r="L73" s="356"/>
      <c r="M73" s="356"/>
      <c r="N73" s="356"/>
      <c r="O73" s="356"/>
    </row>
    <row r="74" spans="1:15" ht="15">
      <c r="A74" s="870"/>
      <c r="B74" s="887"/>
      <c r="C74" s="865" t="s">
        <v>1633</v>
      </c>
      <c r="D74" s="866"/>
      <c r="E74" s="426">
        <f>0.4*(5*2+2*2)</f>
        <v>5.6000000000000005</v>
      </c>
      <c r="F74" s="889"/>
      <c r="G74" s="891"/>
      <c r="H74" s="356"/>
      <c r="I74" s="356"/>
      <c r="J74" s="356"/>
      <c r="K74" s="356"/>
      <c r="L74" s="356"/>
      <c r="M74" s="356"/>
      <c r="N74" s="356"/>
      <c r="O74" s="356"/>
    </row>
    <row r="75" spans="1:15" ht="15">
      <c r="A75" s="405">
        <v>21</v>
      </c>
      <c r="B75" s="442"/>
      <c r="C75" s="455" t="s">
        <v>1634</v>
      </c>
      <c r="D75" s="443" t="s">
        <v>109</v>
      </c>
      <c r="E75" s="393">
        <f>E70</f>
        <v>79.93660000000001</v>
      </c>
      <c r="F75" s="444"/>
      <c r="G75" s="445">
        <f>E75*F75</f>
        <v>0</v>
      </c>
      <c r="H75" s="356"/>
      <c r="I75" s="356"/>
      <c r="J75" s="356"/>
      <c r="K75" s="356"/>
      <c r="L75" s="356"/>
      <c r="M75" s="356"/>
      <c r="N75" s="356"/>
      <c r="O75" s="356"/>
    </row>
    <row r="76" spans="1:15" ht="15">
      <c r="A76" s="405">
        <v>22</v>
      </c>
      <c r="B76" s="377"/>
      <c r="C76" s="435" t="s">
        <v>1635</v>
      </c>
      <c r="D76" s="436" t="s">
        <v>132</v>
      </c>
      <c r="E76" s="437">
        <v>1.605</v>
      </c>
      <c r="F76" s="456"/>
      <c r="G76" s="445">
        <f>E76*F76</f>
        <v>0</v>
      </c>
      <c r="H76" s="356"/>
      <c r="I76" s="356"/>
      <c r="J76" s="356"/>
      <c r="K76" s="356"/>
      <c r="L76" s="356"/>
      <c r="M76" s="356"/>
      <c r="N76" s="356"/>
      <c r="O76" s="356"/>
    </row>
    <row r="77" spans="1:15" ht="15">
      <c r="A77" s="457"/>
      <c r="B77" s="411" t="s">
        <v>1603</v>
      </c>
      <c r="C77" s="411" t="s">
        <v>1636</v>
      </c>
      <c r="D77" s="411"/>
      <c r="E77" s="412"/>
      <c r="F77" s="412"/>
      <c r="G77" s="413">
        <f>SUM(G65:G76)</f>
        <v>0</v>
      </c>
      <c r="H77" s="356"/>
      <c r="I77" s="356"/>
      <c r="J77" s="356"/>
      <c r="K77" s="356"/>
      <c r="L77" s="356"/>
      <c r="M77" s="356"/>
      <c r="N77" s="356"/>
      <c r="O77" s="356"/>
    </row>
    <row r="78" spans="1:15" ht="15">
      <c r="A78" s="373" t="s">
        <v>1565</v>
      </c>
      <c r="B78" s="374" t="s">
        <v>1637</v>
      </c>
      <c r="C78" s="374" t="s">
        <v>1638</v>
      </c>
      <c r="D78" s="374"/>
      <c r="E78" s="375"/>
      <c r="F78" s="458"/>
      <c r="G78" s="459"/>
      <c r="H78" s="356"/>
      <c r="I78" s="356"/>
      <c r="J78" s="356"/>
      <c r="K78" s="356"/>
      <c r="L78" s="356"/>
      <c r="M78" s="356"/>
      <c r="N78" s="356"/>
      <c r="O78" s="356"/>
    </row>
    <row r="79" spans="1:15" ht="20.4">
      <c r="A79" s="424">
        <v>23</v>
      </c>
      <c r="B79" s="460"/>
      <c r="C79" s="461" t="s">
        <v>1639</v>
      </c>
      <c r="D79" s="462" t="s">
        <v>109</v>
      </c>
      <c r="E79" s="463">
        <v>35.6</v>
      </c>
      <c r="F79" s="464"/>
      <c r="G79" s="465">
        <f>E79*F79</f>
        <v>0</v>
      </c>
      <c r="H79" s="356"/>
      <c r="I79" s="356"/>
      <c r="J79" s="356"/>
      <c r="K79" s="356"/>
      <c r="L79" s="356"/>
      <c r="M79" s="356"/>
      <c r="N79" s="356"/>
      <c r="O79" s="356"/>
    </row>
    <row r="80" spans="1:15" ht="30.6">
      <c r="A80" s="424">
        <v>24</v>
      </c>
      <c r="B80" s="466"/>
      <c r="C80" s="406" t="s">
        <v>1640</v>
      </c>
      <c r="D80" s="467" t="s">
        <v>209</v>
      </c>
      <c r="E80" s="468">
        <v>22.22</v>
      </c>
      <c r="F80" s="469"/>
      <c r="G80" s="465">
        <f>E80*F80</f>
        <v>0</v>
      </c>
      <c r="H80" s="356"/>
      <c r="I80" s="356"/>
      <c r="J80" s="356"/>
      <c r="K80" s="356"/>
      <c r="L80" s="356"/>
      <c r="M80" s="356"/>
      <c r="N80" s="356"/>
      <c r="O80" s="356"/>
    </row>
    <row r="81" spans="1:15" ht="30.6">
      <c r="A81" s="424">
        <v>25</v>
      </c>
      <c r="B81" s="466"/>
      <c r="C81" s="461" t="s">
        <v>1641</v>
      </c>
      <c r="D81" s="470" t="s">
        <v>109</v>
      </c>
      <c r="E81" s="463">
        <v>35.6</v>
      </c>
      <c r="F81" s="471"/>
      <c r="G81" s="465">
        <f>E81*F81</f>
        <v>0</v>
      </c>
      <c r="H81" s="356"/>
      <c r="I81" s="356"/>
      <c r="J81" s="356"/>
      <c r="K81" s="356"/>
      <c r="L81" s="356"/>
      <c r="M81" s="356"/>
      <c r="N81" s="356"/>
      <c r="O81" s="356"/>
    </row>
    <row r="82" spans="1:15" ht="20.4">
      <c r="A82" s="424">
        <v>26</v>
      </c>
      <c r="B82" s="466"/>
      <c r="C82" s="472" t="s">
        <v>1642</v>
      </c>
      <c r="D82" s="473" t="s">
        <v>109</v>
      </c>
      <c r="E82" s="474">
        <v>35.6</v>
      </c>
      <c r="F82" s="471"/>
      <c r="G82" s="465">
        <f>E82*F82</f>
        <v>0</v>
      </c>
      <c r="H82" s="356"/>
      <c r="I82" s="356"/>
      <c r="J82" s="356"/>
      <c r="K82" s="356"/>
      <c r="L82" s="356"/>
      <c r="M82" s="356"/>
      <c r="N82" s="356"/>
      <c r="O82" s="356"/>
    </row>
    <row r="83" spans="1:15" ht="15">
      <c r="A83" s="446"/>
      <c r="B83" s="411" t="s">
        <v>1603</v>
      </c>
      <c r="C83" s="411" t="s">
        <v>1643</v>
      </c>
      <c r="D83" s="411"/>
      <c r="E83" s="412"/>
      <c r="F83" s="447"/>
      <c r="G83" s="448">
        <f>SUM(G79:G82)</f>
        <v>0</v>
      </c>
      <c r="H83" s="356"/>
      <c r="I83" s="356"/>
      <c r="J83" s="356"/>
      <c r="K83" s="356"/>
      <c r="L83" s="356"/>
      <c r="M83" s="356"/>
      <c r="N83" s="356"/>
      <c r="O83" s="356"/>
    </row>
    <row r="84" spans="1:15" s="478" customFormat="1" ht="15">
      <c r="A84" s="373" t="s">
        <v>1565</v>
      </c>
      <c r="B84" s="374" t="s">
        <v>1644</v>
      </c>
      <c r="C84" s="374" t="s">
        <v>1645</v>
      </c>
      <c r="D84" s="374"/>
      <c r="E84" s="375"/>
      <c r="F84" s="375"/>
      <c r="G84" s="475"/>
      <c r="H84" s="476"/>
      <c r="I84" s="477"/>
      <c r="L84" s="479"/>
      <c r="M84" s="479"/>
      <c r="N84" s="479"/>
      <c r="O84" s="480"/>
    </row>
    <row r="85" spans="1:15" ht="20.4">
      <c r="A85" s="441">
        <v>27</v>
      </c>
      <c r="B85" s="466" t="s">
        <v>1646</v>
      </c>
      <c r="C85" s="466" t="s">
        <v>1647</v>
      </c>
      <c r="D85" s="473" t="s">
        <v>674</v>
      </c>
      <c r="E85" s="481">
        <v>1</v>
      </c>
      <c r="F85" s="471"/>
      <c r="G85" s="474">
        <f>E85*F85</f>
        <v>0</v>
      </c>
      <c r="H85" s="482"/>
      <c r="I85" s="483"/>
      <c r="L85" s="356"/>
      <c r="M85" s="356"/>
      <c r="N85" s="356"/>
      <c r="O85" s="484"/>
    </row>
    <row r="86" spans="1:15" ht="15">
      <c r="A86" s="441">
        <v>28</v>
      </c>
      <c r="B86" s="466" t="s">
        <v>1648</v>
      </c>
      <c r="C86" s="466" t="s">
        <v>1649</v>
      </c>
      <c r="D86" s="473" t="s">
        <v>674</v>
      </c>
      <c r="E86" s="481">
        <v>5</v>
      </c>
      <c r="F86" s="471"/>
      <c r="G86" s="474">
        <f aca="true" t="shared" si="0" ref="G86:G114">E86*F86</f>
        <v>0</v>
      </c>
      <c r="H86" s="482"/>
      <c r="I86" s="483"/>
      <c r="L86" s="356"/>
      <c r="M86" s="356"/>
      <c r="N86" s="356"/>
      <c r="O86" s="484"/>
    </row>
    <row r="87" spans="1:15" ht="15">
      <c r="A87" s="441">
        <v>29</v>
      </c>
      <c r="B87" s="466" t="s">
        <v>1650</v>
      </c>
      <c r="C87" s="466" t="s">
        <v>1651</v>
      </c>
      <c r="D87" s="473" t="s">
        <v>697</v>
      </c>
      <c r="E87" s="481">
        <v>459</v>
      </c>
      <c r="F87" s="471"/>
      <c r="G87" s="474">
        <f t="shared" si="0"/>
        <v>0</v>
      </c>
      <c r="H87" s="482"/>
      <c r="I87" s="483"/>
      <c r="L87" s="356"/>
      <c r="M87" s="356"/>
      <c r="N87" s="356"/>
      <c r="O87" s="484"/>
    </row>
    <row r="88" spans="1:15" ht="15">
      <c r="A88" s="441">
        <v>30</v>
      </c>
      <c r="B88" s="466" t="s">
        <v>1652</v>
      </c>
      <c r="C88" s="466" t="s">
        <v>1653</v>
      </c>
      <c r="D88" s="473" t="s">
        <v>697</v>
      </c>
      <c r="E88" s="481">
        <v>73</v>
      </c>
      <c r="F88" s="471"/>
      <c r="G88" s="474">
        <f t="shared" si="0"/>
        <v>0</v>
      </c>
      <c r="H88" s="482"/>
      <c r="I88" s="483"/>
      <c r="L88" s="356"/>
      <c r="M88" s="356"/>
      <c r="N88" s="356"/>
      <c r="O88" s="484"/>
    </row>
    <row r="89" spans="1:15" ht="15">
      <c r="A89" s="441">
        <v>31</v>
      </c>
      <c r="B89" s="466" t="s">
        <v>1654</v>
      </c>
      <c r="C89" s="466" t="s">
        <v>1655</v>
      </c>
      <c r="D89" s="473" t="s">
        <v>674</v>
      </c>
      <c r="E89" s="481">
        <v>1</v>
      </c>
      <c r="F89" s="471"/>
      <c r="G89" s="474">
        <f t="shared" si="0"/>
        <v>0</v>
      </c>
      <c r="H89" s="482"/>
      <c r="I89" s="483"/>
      <c r="L89" s="356"/>
      <c r="M89" s="356"/>
      <c r="N89" s="356"/>
      <c r="O89" s="484"/>
    </row>
    <row r="90" spans="1:15" ht="15">
      <c r="A90" s="441">
        <v>32</v>
      </c>
      <c r="B90" s="466" t="s">
        <v>1656</v>
      </c>
      <c r="C90" s="466" t="s">
        <v>1657</v>
      </c>
      <c r="D90" s="473" t="s">
        <v>674</v>
      </c>
      <c r="E90" s="481">
        <v>4</v>
      </c>
      <c r="F90" s="471"/>
      <c r="G90" s="474">
        <f t="shared" si="0"/>
        <v>0</v>
      </c>
      <c r="H90" s="482"/>
      <c r="I90" s="483"/>
      <c r="L90" s="356"/>
      <c r="M90" s="356"/>
      <c r="N90" s="356"/>
      <c r="O90" s="484"/>
    </row>
    <row r="91" spans="1:15" ht="15">
      <c r="A91" s="441">
        <v>33</v>
      </c>
      <c r="B91" s="485" t="s">
        <v>1658</v>
      </c>
      <c r="C91" s="485" t="s">
        <v>1659</v>
      </c>
      <c r="D91" s="486" t="s">
        <v>697</v>
      </c>
      <c r="E91" s="487">
        <v>135</v>
      </c>
      <c r="F91" s="488"/>
      <c r="G91" s="474">
        <f t="shared" si="0"/>
        <v>0</v>
      </c>
      <c r="H91" s="482"/>
      <c r="I91" s="483"/>
      <c r="L91" s="356"/>
      <c r="M91" s="356"/>
      <c r="N91" s="356"/>
      <c r="O91" s="484"/>
    </row>
    <row r="92" spans="1:15" ht="15">
      <c r="A92" s="441">
        <v>34</v>
      </c>
      <c r="B92" s="485" t="s">
        <v>1660</v>
      </c>
      <c r="C92" s="485" t="s">
        <v>1661</v>
      </c>
      <c r="D92" s="486" t="s">
        <v>697</v>
      </c>
      <c r="E92" s="487">
        <v>130</v>
      </c>
      <c r="F92" s="488"/>
      <c r="G92" s="474">
        <f t="shared" si="0"/>
        <v>0</v>
      </c>
      <c r="H92" s="482"/>
      <c r="I92" s="483"/>
      <c r="L92" s="356"/>
      <c r="M92" s="356"/>
      <c r="N92" s="356"/>
      <c r="O92" s="484"/>
    </row>
    <row r="93" spans="1:15" ht="15">
      <c r="A93" s="441">
        <v>35</v>
      </c>
      <c r="B93" s="466" t="s">
        <v>1662</v>
      </c>
      <c r="C93" s="466" t="s">
        <v>1663</v>
      </c>
      <c r="D93" s="489" t="s">
        <v>697</v>
      </c>
      <c r="E93" s="481">
        <v>210</v>
      </c>
      <c r="F93" s="471"/>
      <c r="G93" s="474">
        <f t="shared" si="0"/>
        <v>0</v>
      </c>
      <c r="H93" s="482"/>
      <c r="I93" s="483"/>
      <c r="L93" s="356"/>
      <c r="M93" s="356"/>
      <c r="N93" s="356"/>
      <c r="O93" s="484"/>
    </row>
    <row r="94" spans="1:15" ht="15">
      <c r="A94" s="441">
        <v>36</v>
      </c>
      <c r="B94" s="466" t="s">
        <v>1664</v>
      </c>
      <c r="C94" s="466" t="s">
        <v>1665</v>
      </c>
      <c r="D94" s="489" t="s">
        <v>697</v>
      </c>
      <c r="E94" s="481">
        <v>270</v>
      </c>
      <c r="F94" s="471"/>
      <c r="G94" s="474">
        <f t="shared" si="0"/>
        <v>0</v>
      </c>
      <c r="H94" s="482"/>
      <c r="I94" s="483"/>
      <c r="L94" s="356"/>
      <c r="M94" s="356"/>
      <c r="N94" s="356"/>
      <c r="O94" s="484"/>
    </row>
    <row r="95" spans="1:15" ht="15" customHeight="1">
      <c r="A95" s="441">
        <v>37</v>
      </c>
      <c r="B95" s="466" t="s">
        <v>1666</v>
      </c>
      <c r="C95" s="466" t="s">
        <v>1667</v>
      </c>
      <c r="D95" s="473" t="s">
        <v>674</v>
      </c>
      <c r="E95" s="481">
        <v>18</v>
      </c>
      <c r="F95" s="471"/>
      <c r="G95" s="474">
        <f t="shared" si="0"/>
        <v>0</v>
      </c>
      <c r="H95" s="482"/>
      <c r="I95" s="483"/>
      <c r="L95" s="356"/>
      <c r="M95" s="356"/>
      <c r="N95" s="356"/>
      <c r="O95" s="484"/>
    </row>
    <row r="96" spans="1:15" s="492" customFormat="1" ht="15">
      <c r="A96" s="441">
        <v>38</v>
      </c>
      <c r="B96" s="466" t="s">
        <v>1668</v>
      </c>
      <c r="C96" s="466" t="s">
        <v>1669</v>
      </c>
      <c r="D96" s="473" t="s">
        <v>674</v>
      </c>
      <c r="E96" s="481">
        <v>18</v>
      </c>
      <c r="F96" s="471"/>
      <c r="G96" s="474">
        <f t="shared" si="0"/>
        <v>0</v>
      </c>
      <c r="H96" s="490"/>
      <c r="I96" s="491"/>
      <c r="L96" s="493"/>
      <c r="M96" s="493"/>
      <c r="N96" s="493"/>
      <c r="O96" s="494"/>
    </row>
    <row r="97" spans="1:15" s="492" customFormat="1" ht="15">
      <c r="A97" s="441">
        <v>39</v>
      </c>
      <c r="B97" s="466" t="s">
        <v>1670</v>
      </c>
      <c r="C97" s="466" t="s">
        <v>1671</v>
      </c>
      <c r="D97" s="473" t="s">
        <v>674</v>
      </c>
      <c r="E97" s="481">
        <v>4</v>
      </c>
      <c r="F97" s="471"/>
      <c r="G97" s="474">
        <f t="shared" si="0"/>
        <v>0</v>
      </c>
      <c r="H97" s="490"/>
      <c r="I97" s="491"/>
      <c r="L97" s="493"/>
      <c r="M97" s="493"/>
      <c r="N97" s="493"/>
      <c r="O97" s="494"/>
    </row>
    <row r="98" spans="1:15" s="492" customFormat="1" ht="15">
      <c r="A98" s="441">
        <v>40</v>
      </c>
      <c r="B98" s="466" t="s">
        <v>1672</v>
      </c>
      <c r="C98" s="466" t="s">
        <v>1673</v>
      </c>
      <c r="D98" s="495" t="s">
        <v>1674</v>
      </c>
      <c r="E98" s="481">
        <v>1</v>
      </c>
      <c r="F98" s="488"/>
      <c r="G98" s="474">
        <f t="shared" si="0"/>
        <v>0</v>
      </c>
      <c r="H98" s="490"/>
      <c r="I98" s="491"/>
      <c r="L98" s="493"/>
      <c r="M98" s="493"/>
      <c r="N98" s="493"/>
      <c r="O98" s="494"/>
    </row>
    <row r="99" spans="1:15" ht="21">
      <c r="A99" s="441">
        <v>41</v>
      </c>
      <c r="B99" s="466" t="s">
        <v>1675</v>
      </c>
      <c r="C99" s="496" t="s">
        <v>1676</v>
      </c>
      <c r="D99" s="495" t="s">
        <v>674</v>
      </c>
      <c r="E99" s="481">
        <v>18</v>
      </c>
      <c r="F99" s="471"/>
      <c r="G99" s="474">
        <f t="shared" si="0"/>
        <v>0</v>
      </c>
      <c r="H99" s="482"/>
      <c r="I99" s="483"/>
      <c r="L99" s="356"/>
      <c r="M99" s="356"/>
      <c r="N99" s="356"/>
      <c r="O99" s="484"/>
    </row>
    <row r="100" spans="1:15" ht="15">
      <c r="A100" s="441">
        <v>42</v>
      </c>
      <c r="B100" s="466" t="s">
        <v>1677</v>
      </c>
      <c r="C100" s="496" t="s">
        <v>1678</v>
      </c>
      <c r="D100" s="473" t="s">
        <v>674</v>
      </c>
      <c r="E100" s="481">
        <v>18</v>
      </c>
      <c r="F100" s="471"/>
      <c r="G100" s="474">
        <f t="shared" si="0"/>
        <v>0</v>
      </c>
      <c r="H100" s="482"/>
      <c r="I100" s="483"/>
      <c r="L100" s="356"/>
      <c r="M100" s="356"/>
      <c r="N100" s="356"/>
      <c r="O100" s="484"/>
    </row>
    <row r="101" spans="1:15" ht="15">
      <c r="A101" s="441">
        <v>43</v>
      </c>
      <c r="B101" s="466" t="s">
        <v>1679</v>
      </c>
      <c r="C101" s="496" t="s">
        <v>1680</v>
      </c>
      <c r="D101" s="473" t="s">
        <v>674</v>
      </c>
      <c r="E101" s="481">
        <v>1</v>
      </c>
      <c r="F101" s="471"/>
      <c r="G101" s="474">
        <f t="shared" si="0"/>
        <v>0</v>
      </c>
      <c r="H101" s="482"/>
      <c r="I101" s="483"/>
      <c r="L101" s="356"/>
      <c r="M101" s="356"/>
      <c r="N101" s="356"/>
      <c r="O101" s="484"/>
    </row>
    <row r="102" spans="1:15" ht="41.4">
      <c r="A102" s="441">
        <v>44</v>
      </c>
      <c r="B102" s="485" t="s">
        <v>1681</v>
      </c>
      <c r="C102" s="497" t="s">
        <v>1682</v>
      </c>
      <c r="D102" s="498" t="s">
        <v>674</v>
      </c>
      <c r="E102" s="487">
        <v>1</v>
      </c>
      <c r="F102" s="488"/>
      <c r="G102" s="474">
        <f t="shared" si="0"/>
        <v>0</v>
      </c>
      <c r="H102" s="482"/>
      <c r="I102" s="483"/>
      <c r="L102" s="356"/>
      <c r="M102" s="356"/>
      <c r="N102" s="356"/>
      <c r="O102" s="484"/>
    </row>
    <row r="103" spans="1:15" ht="20.4">
      <c r="A103" s="441">
        <v>45</v>
      </c>
      <c r="B103" s="499" t="s">
        <v>1683</v>
      </c>
      <c r="C103" s="500" t="s">
        <v>1684</v>
      </c>
      <c r="D103" s="498" t="s">
        <v>1674</v>
      </c>
      <c r="E103" s="487">
        <v>1</v>
      </c>
      <c r="F103" s="488"/>
      <c r="G103" s="474">
        <f t="shared" si="0"/>
        <v>0</v>
      </c>
      <c r="H103" s="482"/>
      <c r="I103" s="483"/>
      <c r="L103" s="356"/>
      <c r="M103" s="356"/>
      <c r="N103" s="356"/>
      <c r="O103" s="484"/>
    </row>
    <row r="104" spans="1:15" ht="20.4">
      <c r="A104" s="441">
        <v>46</v>
      </c>
      <c r="B104" s="485" t="s">
        <v>1685</v>
      </c>
      <c r="C104" s="500" t="s">
        <v>1686</v>
      </c>
      <c r="D104" s="498" t="s">
        <v>1674</v>
      </c>
      <c r="E104" s="487">
        <v>1</v>
      </c>
      <c r="F104" s="488"/>
      <c r="G104" s="474">
        <f t="shared" si="0"/>
        <v>0</v>
      </c>
      <c r="H104" s="482"/>
      <c r="I104" s="483"/>
      <c r="L104" s="356"/>
      <c r="M104" s="356"/>
      <c r="N104" s="356"/>
      <c r="O104" s="484"/>
    </row>
    <row r="105" spans="1:15" ht="30.6">
      <c r="A105" s="441">
        <v>47</v>
      </c>
      <c r="B105" s="485" t="s">
        <v>1687</v>
      </c>
      <c r="C105" s="500" t="s">
        <v>1688</v>
      </c>
      <c r="D105" s="498" t="s">
        <v>1674</v>
      </c>
      <c r="E105" s="487">
        <v>15</v>
      </c>
      <c r="F105" s="488"/>
      <c r="G105" s="474">
        <f t="shared" si="0"/>
        <v>0</v>
      </c>
      <c r="H105" s="482"/>
      <c r="I105" s="483"/>
      <c r="L105" s="356"/>
      <c r="M105" s="356"/>
      <c r="N105" s="356"/>
      <c r="O105" s="484"/>
    </row>
    <row r="106" spans="1:15" ht="30.6">
      <c r="A106" s="441">
        <v>48</v>
      </c>
      <c r="B106" s="466" t="s">
        <v>1689</v>
      </c>
      <c r="C106" s="466" t="s">
        <v>1690</v>
      </c>
      <c r="D106" s="473" t="s">
        <v>674</v>
      </c>
      <c r="E106" s="481">
        <v>1</v>
      </c>
      <c r="F106" s="471"/>
      <c r="G106" s="474">
        <f t="shared" si="0"/>
        <v>0</v>
      </c>
      <c r="H106" s="482"/>
      <c r="I106" s="483"/>
      <c r="L106" s="356"/>
      <c r="M106" s="356"/>
      <c r="N106" s="356"/>
      <c r="O106" s="484"/>
    </row>
    <row r="107" spans="1:15" ht="24.75" customHeight="1">
      <c r="A107" s="441">
        <v>49</v>
      </c>
      <c r="B107" s="466" t="s">
        <v>1691</v>
      </c>
      <c r="C107" s="496" t="s">
        <v>1692</v>
      </c>
      <c r="D107" s="473" t="s">
        <v>674</v>
      </c>
      <c r="E107" s="481">
        <v>6</v>
      </c>
      <c r="F107" s="471"/>
      <c r="G107" s="474">
        <f t="shared" si="0"/>
        <v>0</v>
      </c>
      <c r="H107" s="482"/>
      <c r="I107" s="483"/>
      <c r="L107" s="356"/>
      <c r="M107" s="356"/>
      <c r="N107" s="356"/>
      <c r="O107" s="484"/>
    </row>
    <row r="108" spans="1:15" ht="15">
      <c r="A108" s="441">
        <v>50</v>
      </c>
      <c r="B108" s="466" t="s">
        <v>1693</v>
      </c>
      <c r="C108" s="466" t="s">
        <v>1694</v>
      </c>
      <c r="D108" s="473" t="s">
        <v>674</v>
      </c>
      <c r="E108" s="481">
        <v>6</v>
      </c>
      <c r="F108" s="471"/>
      <c r="G108" s="474">
        <f t="shared" si="0"/>
        <v>0</v>
      </c>
      <c r="H108" s="482"/>
      <c r="I108" s="483"/>
      <c r="L108" s="356"/>
      <c r="M108" s="356"/>
      <c r="N108" s="356"/>
      <c r="O108" s="484"/>
    </row>
    <row r="109" spans="1:15" ht="15">
      <c r="A109" s="441">
        <v>51</v>
      </c>
      <c r="B109" s="466" t="s">
        <v>1695</v>
      </c>
      <c r="C109" s="466" t="s">
        <v>1696</v>
      </c>
      <c r="D109" s="473" t="s">
        <v>1697</v>
      </c>
      <c r="E109" s="481">
        <v>1</v>
      </c>
      <c r="F109" s="471"/>
      <c r="G109" s="474">
        <f t="shared" si="0"/>
        <v>0</v>
      </c>
      <c r="H109" s="482"/>
      <c r="I109" s="483"/>
      <c r="L109" s="356"/>
      <c r="M109" s="356"/>
      <c r="N109" s="356"/>
      <c r="O109" s="484"/>
    </row>
    <row r="110" spans="1:15" ht="15">
      <c r="A110" s="441">
        <v>52</v>
      </c>
      <c r="B110" s="466" t="s">
        <v>1698</v>
      </c>
      <c r="C110" s="466" t="s">
        <v>1699</v>
      </c>
      <c r="D110" s="473" t="s">
        <v>674</v>
      </c>
      <c r="E110" s="481">
        <v>2</v>
      </c>
      <c r="F110" s="471"/>
      <c r="G110" s="474">
        <f t="shared" si="0"/>
        <v>0</v>
      </c>
      <c r="H110" s="482"/>
      <c r="I110" s="483"/>
      <c r="L110" s="356"/>
      <c r="M110" s="356"/>
      <c r="N110" s="356"/>
      <c r="O110" s="484"/>
    </row>
    <row r="111" spans="1:15" ht="15">
      <c r="A111" s="441">
        <v>53</v>
      </c>
      <c r="B111" s="466" t="s">
        <v>1700</v>
      </c>
      <c r="C111" s="466" t="s">
        <v>1701</v>
      </c>
      <c r="D111" s="473" t="s">
        <v>1697</v>
      </c>
      <c r="E111" s="481">
        <v>1</v>
      </c>
      <c r="F111" s="471"/>
      <c r="G111" s="474">
        <f t="shared" si="0"/>
        <v>0</v>
      </c>
      <c r="H111" s="482"/>
      <c r="I111" s="483"/>
      <c r="L111" s="356"/>
      <c r="M111" s="356"/>
      <c r="N111" s="356"/>
      <c r="O111" s="484"/>
    </row>
    <row r="112" spans="1:15" ht="15">
      <c r="A112" s="441">
        <v>54</v>
      </c>
      <c r="B112" s="466" t="s">
        <v>1702</v>
      </c>
      <c r="C112" s="501" t="s">
        <v>1703</v>
      </c>
      <c r="D112" s="473" t="s">
        <v>1697</v>
      </c>
      <c r="E112" s="502">
        <v>1</v>
      </c>
      <c r="F112" s="488"/>
      <c r="G112" s="474">
        <f t="shared" si="0"/>
        <v>0</v>
      </c>
      <c r="H112" s="482"/>
      <c r="I112" s="483"/>
      <c r="L112" s="356"/>
      <c r="M112" s="356"/>
      <c r="N112" s="356"/>
      <c r="O112" s="484"/>
    </row>
    <row r="113" spans="1:15" ht="15">
      <c r="A113" s="441">
        <v>55</v>
      </c>
      <c r="B113" s="501" t="s">
        <v>1704</v>
      </c>
      <c r="C113" s="501" t="s">
        <v>1705</v>
      </c>
      <c r="D113" s="473" t="s">
        <v>407</v>
      </c>
      <c r="E113" s="502">
        <v>20</v>
      </c>
      <c r="F113" s="471"/>
      <c r="G113" s="474">
        <f>E113*F113</f>
        <v>0</v>
      </c>
      <c r="H113" s="482"/>
      <c r="I113" s="483"/>
      <c r="L113" s="356"/>
      <c r="M113" s="356"/>
      <c r="N113" s="356"/>
      <c r="O113" s="484"/>
    </row>
    <row r="114" spans="1:15" ht="15">
      <c r="A114" s="441">
        <v>56</v>
      </c>
      <c r="B114" s="466" t="s">
        <v>1706</v>
      </c>
      <c r="C114" s="501" t="s">
        <v>1707</v>
      </c>
      <c r="D114" s="473" t="s">
        <v>1697</v>
      </c>
      <c r="E114" s="502">
        <v>1</v>
      </c>
      <c r="F114" s="471"/>
      <c r="G114" s="474">
        <f t="shared" si="0"/>
        <v>0</v>
      </c>
      <c r="H114" s="482"/>
      <c r="I114" s="483"/>
      <c r="L114" s="356"/>
      <c r="M114" s="356"/>
      <c r="N114" s="356"/>
      <c r="O114" s="484"/>
    </row>
    <row r="115" spans="1:15" ht="15">
      <c r="A115" s="446"/>
      <c r="B115" s="411" t="s">
        <v>1603</v>
      </c>
      <c r="C115" s="411" t="s">
        <v>1708</v>
      </c>
      <c r="D115" s="411"/>
      <c r="E115" s="447"/>
      <c r="F115" s="447"/>
      <c r="G115" s="448">
        <f>SUM(G85:G114)</f>
        <v>0</v>
      </c>
      <c r="H115" s="482"/>
      <c r="I115" s="483"/>
      <c r="L115" s="356"/>
      <c r="M115" s="356"/>
      <c r="N115" s="356"/>
      <c r="O115" s="484"/>
    </row>
    <row r="116" spans="1:15" s="478" customFormat="1" ht="15">
      <c r="A116" s="373" t="s">
        <v>1565</v>
      </c>
      <c r="B116" s="374" t="s">
        <v>1709</v>
      </c>
      <c r="C116" s="374" t="s">
        <v>1710</v>
      </c>
      <c r="D116" s="374"/>
      <c r="E116" s="458"/>
      <c r="F116" s="458"/>
      <c r="G116" s="475"/>
      <c r="H116" s="476"/>
      <c r="I116" s="477"/>
      <c r="L116" s="479"/>
      <c r="M116" s="479"/>
      <c r="N116" s="479"/>
      <c r="O116" s="480"/>
    </row>
    <row r="117" spans="1:15" ht="15">
      <c r="A117" s="441">
        <v>57</v>
      </c>
      <c r="B117" s="501" t="s">
        <v>1711</v>
      </c>
      <c r="C117" s="501" t="s">
        <v>1712</v>
      </c>
      <c r="D117" s="473" t="s">
        <v>1697</v>
      </c>
      <c r="E117" s="502">
        <v>1</v>
      </c>
      <c r="F117" s="488"/>
      <c r="G117" s="474">
        <f>E117*F117</f>
        <v>0</v>
      </c>
      <c r="H117" s="482"/>
      <c r="I117" s="483"/>
      <c r="L117" s="356"/>
      <c r="M117" s="356"/>
      <c r="N117" s="356"/>
      <c r="O117" s="484"/>
    </row>
    <row r="118" spans="1:15" ht="15">
      <c r="A118" s="441">
        <v>58</v>
      </c>
      <c r="B118" s="501" t="s">
        <v>1713</v>
      </c>
      <c r="C118" s="501" t="s">
        <v>1714</v>
      </c>
      <c r="D118" s="473" t="s">
        <v>1715</v>
      </c>
      <c r="E118" s="502">
        <v>8</v>
      </c>
      <c r="F118" s="471"/>
      <c r="G118" s="474">
        <f>E118*F118</f>
        <v>0</v>
      </c>
      <c r="H118" s="482"/>
      <c r="I118" s="483"/>
      <c r="L118" s="356"/>
      <c r="M118" s="356"/>
      <c r="N118" s="356"/>
      <c r="O118" s="484"/>
    </row>
    <row r="119" spans="1:15" ht="15">
      <c r="A119" s="441">
        <v>59</v>
      </c>
      <c r="B119" s="501" t="s">
        <v>1716</v>
      </c>
      <c r="C119" s="501" t="s">
        <v>1717</v>
      </c>
      <c r="D119" s="473" t="s">
        <v>1715</v>
      </c>
      <c r="E119" s="502">
        <v>16</v>
      </c>
      <c r="F119" s="471"/>
      <c r="G119" s="474">
        <f>E119*F119</f>
        <v>0</v>
      </c>
      <c r="H119" s="482"/>
      <c r="I119" s="483"/>
      <c r="L119" s="356"/>
      <c r="M119" s="356"/>
      <c r="N119" s="356"/>
      <c r="O119" s="484"/>
    </row>
    <row r="120" spans="1:15" ht="15">
      <c r="A120" s="441">
        <v>60</v>
      </c>
      <c r="B120" s="501" t="s">
        <v>1718</v>
      </c>
      <c r="C120" s="501" t="s">
        <v>1719</v>
      </c>
      <c r="D120" s="473" t="s">
        <v>1715</v>
      </c>
      <c r="E120" s="502">
        <v>3</v>
      </c>
      <c r="F120" s="471"/>
      <c r="G120" s="474">
        <f>E120*F120</f>
        <v>0</v>
      </c>
      <c r="H120" s="482"/>
      <c r="I120" s="483"/>
      <c r="L120" s="356"/>
      <c r="M120" s="356"/>
      <c r="N120" s="356"/>
      <c r="O120" s="484"/>
    </row>
    <row r="121" spans="1:15" ht="15">
      <c r="A121" s="446"/>
      <c r="B121" s="411" t="s">
        <v>1603</v>
      </c>
      <c r="C121" s="411" t="s">
        <v>1720</v>
      </c>
      <c r="D121" s="411"/>
      <c r="E121" s="447"/>
      <c r="F121" s="447"/>
      <c r="G121" s="448">
        <f>SUM(G117:G120)</f>
        <v>0</v>
      </c>
      <c r="H121" s="482"/>
      <c r="I121" s="483"/>
      <c r="L121" s="356"/>
      <c r="M121" s="356"/>
      <c r="N121" s="356"/>
      <c r="O121" s="484"/>
    </row>
    <row r="122" spans="1:15" s="478" customFormat="1" ht="15">
      <c r="A122" s="373" t="s">
        <v>1565</v>
      </c>
      <c r="B122" s="374" t="s">
        <v>1721</v>
      </c>
      <c r="C122" s="374" t="s">
        <v>1722</v>
      </c>
      <c r="D122" s="374"/>
      <c r="E122" s="458"/>
      <c r="F122" s="458"/>
      <c r="G122" s="475"/>
      <c r="H122" s="476"/>
      <c r="I122" s="477"/>
      <c r="L122" s="479"/>
      <c r="M122" s="479"/>
      <c r="N122" s="479"/>
      <c r="O122" s="480"/>
    </row>
    <row r="123" spans="1:15" ht="15">
      <c r="A123" s="441">
        <v>61</v>
      </c>
      <c r="B123" s="501" t="s">
        <v>1723</v>
      </c>
      <c r="C123" s="501" t="s">
        <v>1724</v>
      </c>
      <c r="D123" s="473" t="s">
        <v>1697</v>
      </c>
      <c r="E123" s="502">
        <v>1</v>
      </c>
      <c r="F123" s="471"/>
      <c r="G123" s="474">
        <f>E123*F123</f>
        <v>0</v>
      </c>
      <c r="H123" s="482"/>
      <c r="I123" s="483"/>
      <c r="L123" s="356"/>
      <c r="M123" s="356"/>
      <c r="N123" s="356"/>
      <c r="O123" s="484"/>
    </row>
    <row r="124" spans="1:15" ht="15">
      <c r="A124" s="441">
        <f aca="true" t="shared" si="1" ref="A124:A187">A123+1</f>
        <v>62</v>
      </c>
      <c r="B124" s="501" t="s">
        <v>1725</v>
      </c>
      <c r="C124" s="501" t="s">
        <v>1726</v>
      </c>
      <c r="D124" s="473" t="s">
        <v>1697</v>
      </c>
      <c r="E124" s="502">
        <v>1</v>
      </c>
      <c r="F124" s="471"/>
      <c r="G124" s="474">
        <f aca="true" t="shared" si="2" ref="G124:G189">E124*F124</f>
        <v>0</v>
      </c>
      <c r="H124" s="482"/>
      <c r="I124" s="483"/>
      <c r="L124" s="356"/>
      <c r="M124" s="356"/>
      <c r="N124" s="356"/>
      <c r="O124" s="484"/>
    </row>
    <row r="125" spans="1:15" ht="15">
      <c r="A125" s="441">
        <f t="shared" si="1"/>
        <v>63</v>
      </c>
      <c r="B125" s="501" t="s">
        <v>1727</v>
      </c>
      <c r="C125" s="501" t="s">
        <v>1728</v>
      </c>
      <c r="D125" s="473" t="s">
        <v>1697</v>
      </c>
      <c r="E125" s="502">
        <v>1</v>
      </c>
      <c r="F125" s="471"/>
      <c r="G125" s="474">
        <f t="shared" si="2"/>
        <v>0</v>
      </c>
      <c r="H125" s="482"/>
      <c r="I125" s="483"/>
      <c r="L125" s="356"/>
      <c r="M125" s="356"/>
      <c r="N125" s="356"/>
      <c r="O125" s="484"/>
    </row>
    <row r="126" spans="1:15" ht="15">
      <c r="A126" s="441">
        <f t="shared" si="1"/>
        <v>64</v>
      </c>
      <c r="B126" s="501" t="s">
        <v>1729</v>
      </c>
      <c r="C126" s="501" t="s">
        <v>1730</v>
      </c>
      <c r="D126" s="473" t="s">
        <v>1697</v>
      </c>
      <c r="E126" s="502">
        <v>1</v>
      </c>
      <c r="F126" s="471"/>
      <c r="G126" s="474">
        <f t="shared" si="2"/>
        <v>0</v>
      </c>
      <c r="H126" s="482"/>
      <c r="I126" s="483"/>
      <c r="L126" s="356"/>
      <c r="M126" s="356"/>
      <c r="N126" s="356"/>
      <c r="O126" s="484"/>
    </row>
    <row r="127" spans="1:15" ht="15">
      <c r="A127" s="441">
        <f t="shared" si="1"/>
        <v>65</v>
      </c>
      <c r="B127" s="501" t="s">
        <v>1731</v>
      </c>
      <c r="C127" s="501" t="s">
        <v>1732</v>
      </c>
      <c r="D127" s="473" t="s">
        <v>1697</v>
      </c>
      <c r="E127" s="502">
        <v>1</v>
      </c>
      <c r="F127" s="471"/>
      <c r="G127" s="474">
        <f t="shared" si="2"/>
        <v>0</v>
      </c>
      <c r="H127" s="482"/>
      <c r="I127" s="483"/>
      <c r="L127" s="356"/>
      <c r="M127" s="356"/>
      <c r="N127" s="356"/>
      <c r="O127" s="484"/>
    </row>
    <row r="128" spans="1:15" ht="20.4">
      <c r="A128" s="441">
        <f t="shared" si="1"/>
        <v>66</v>
      </c>
      <c r="B128" s="466" t="s">
        <v>1733</v>
      </c>
      <c r="C128" s="466" t="s">
        <v>1734</v>
      </c>
      <c r="D128" s="473" t="s">
        <v>674</v>
      </c>
      <c r="E128" s="481">
        <v>18</v>
      </c>
      <c r="F128" s="471"/>
      <c r="G128" s="474">
        <f t="shared" si="2"/>
        <v>0</v>
      </c>
      <c r="H128" s="482"/>
      <c r="I128" s="483"/>
      <c r="L128" s="356"/>
      <c r="M128" s="356"/>
      <c r="N128" s="356"/>
      <c r="O128" s="484"/>
    </row>
    <row r="129" spans="1:15" ht="20.4">
      <c r="A129" s="441">
        <f t="shared" si="1"/>
        <v>67</v>
      </c>
      <c r="B129" s="466" t="s">
        <v>1735</v>
      </c>
      <c r="C129" s="466" t="s">
        <v>1736</v>
      </c>
      <c r="D129" s="473" t="s">
        <v>674</v>
      </c>
      <c r="E129" s="481">
        <v>40</v>
      </c>
      <c r="F129" s="471"/>
      <c r="G129" s="474">
        <f t="shared" si="2"/>
        <v>0</v>
      </c>
      <c r="H129" s="482"/>
      <c r="I129" s="483"/>
      <c r="L129" s="356"/>
      <c r="M129" s="356"/>
      <c r="N129" s="356"/>
      <c r="O129" s="484"/>
    </row>
    <row r="130" spans="1:15" s="492" customFormat="1" ht="20.4">
      <c r="A130" s="441">
        <f t="shared" si="1"/>
        <v>68</v>
      </c>
      <c r="B130" s="466" t="s">
        <v>1737</v>
      </c>
      <c r="C130" s="466" t="s">
        <v>1738</v>
      </c>
      <c r="D130" s="473" t="s">
        <v>674</v>
      </c>
      <c r="E130" s="481">
        <v>1</v>
      </c>
      <c r="F130" s="471"/>
      <c r="G130" s="503">
        <f t="shared" si="2"/>
        <v>0</v>
      </c>
      <c r="H130" s="490"/>
      <c r="I130" s="491"/>
      <c r="L130" s="493"/>
      <c r="M130" s="493"/>
      <c r="N130" s="493"/>
      <c r="O130" s="494"/>
    </row>
    <row r="131" spans="1:15" s="492" customFormat="1" ht="20.4">
      <c r="A131" s="441">
        <f t="shared" si="1"/>
        <v>69</v>
      </c>
      <c r="B131" s="466" t="s">
        <v>1739</v>
      </c>
      <c r="C131" s="466" t="s">
        <v>1740</v>
      </c>
      <c r="D131" s="473" t="s">
        <v>674</v>
      </c>
      <c r="E131" s="481">
        <v>1</v>
      </c>
      <c r="F131" s="471"/>
      <c r="G131" s="503">
        <f>E131*F131</f>
        <v>0</v>
      </c>
      <c r="H131" s="490"/>
      <c r="I131" s="491"/>
      <c r="L131" s="493"/>
      <c r="M131" s="493"/>
      <c r="N131" s="493"/>
      <c r="O131" s="494"/>
    </row>
    <row r="132" spans="1:15" ht="30.6">
      <c r="A132" s="441">
        <f t="shared" si="1"/>
        <v>70</v>
      </c>
      <c r="B132" s="501" t="s">
        <v>1741</v>
      </c>
      <c r="C132" s="466" t="s">
        <v>1742</v>
      </c>
      <c r="D132" s="473" t="s">
        <v>674</v>
      </c>
      <c r="E132" s="481">
        <v>1</v>
      </c>
      <c r="F132" s="471"/>
      <c r="G132" s="474">
        <f t="shared" si="2"/>
        <v>0</v>
      </c>
      <c r="H132" s="482"/>
      <c r="I132" s="483"/>
      <c r="L132" s="356"/>
      <c r="M132" s="356"/>
      <c r="N132" s="356"/>
      <c r="O132" s="484"/>
    </row>
    <row r="133" spans="1:15" ht="30.6">
      <c r="A133" s="441">
        <f t="shared" si="1"/>
        <v>71</v>
      </c>
      <c r="B133" s="501" t="s">
        <v>1743</v>
      </c>
      <c r="C133" s="466" t="s">
        <v>1744</v>
      </c>
      <c r="D133" s="473" t="s">
        <v>674</v>
      </c>
      <c r="E133" s="481">
        <v>1</v>
      </c>
      <c r="F133" s="471"/>
      <c r="G133" s="474">
        <f t="shared" si="2"/>
        <v>0</v>
      </c>
      <c r="H133" s="482"/>
      <c r="I133" s="483"/>
      <c r="L133" s="356"/>
      <c r="M133" s="356"/>
      <c r="N133" s="356"/>
      <c r="O133" s="484"/>
    </row>
    <row r="134" spans="1:15" ht="15">
      <c r="A134" s="441">
        <f t="shared" si="1"/>
        <v>72</v>
      </c>
      <c r="B134" s="501" t="s">
        <v>1745</v>
      </c>
      <c r="C134" s="466" t="s">
        <v>1746</v>
      </c>
      <c r="D134" s="473" t="s">
        <v>674</v>
      </c>
      <c r="E134" s="481">
        <v>1</v>
      </c>
      <c r="F134" s="471"/>
      <c r="G134" s="474">
        <f t="shared" si="2"/>
        <v>0</v>
      </c>
      <c r="H134" s="482"/>
      <c r="I134" s="483"/>
      <c r="L134" s="356"/>
      <c r="M134" s="356"/>
      <c r="N134" s="356"/>
      <c r="O134" s="484"/>
    </row>
    <row r="135" spans="1:15" ht="15">
      <c r="A135" s="441">
        <f t="shared" si="1"/>
        <v>73</v>
      </c>
      <c r="B135" s="501" t="s">
        <v>1747</v>
      </c>
      <c r="C135" s="501" t="s">
        <v>1748</v>
      </c>
      <c r="D135" s="473" t="s">
        <v>674</v>
      </c>
      <c r="E135" s="502">
        <v>1</v>
      </c>
      <c r="F135" s="488"/>
      <c r="G135" s="474">
        <f t="shared" si="2"/>
        <v>0</v>
      </c>
      <c r="H135" s="482"/>
      <c r="I135" s="483"/>
      <c r="L135" s="356"/>
      <c r="M135" s="356"/>
      <c r="N135" s="356"/>
      <c r="O135" s="484"/>
    </row>
    <row r="136" spans="1:15" ht="15">
      <c r="A136" s="441">
        <f t="shared" si="1"/>
        <v>74</v>
      </c>
      <c r="B136" s="501" t="s">
        <v>1749</v>
      </c>
      <c r="C136" s="501" t="s">
        <v>1750</v>
      </c>
      <c r="D136" s="473" t="s">
        <v>674</v>
      </c>
      <c r="E136" s="502">
        <v>20</v>
      </c>
      <c r="F136" s="488"/>
      <c r="G136" s="474">
        <f t="shared" si="2"/>
        <v>0</v>
      </c>
      <c r="H136" s="482"/>
      <c r="I136" s="483"/>
      <c r="L136" s="356"/>
      <c r="M136" s="356"/>
      <c r="N136" s="356"/>
      <c r="O136" s="484"/>
    </row>
    <row r="137" spans="1:15" ht="15">
      <c r="A137" s="441">
        <f t="shared" si="1"/>
        <v>75</v>
      </c>
      <c r="B137" s="501" t="s">
        <v>1751</v>
      </c>
      <c r="C137" s="466" t="s">
        <v>1752</v>
      </c>
      <c r="D137" s="473" t="s">
        <v>674</v>
      </c>
      <c r="E137" s="481">
        <v>1</v>
      </c>
      <c r="F137" s="471"/>
      <c r="G137" s="474">
        <f t="shared" si="2"/>
        <v>0</v>
      </c>
      <c r="H137" s="482"/>
      <c r="I137" s="483"/>
      <c r="L137" s="356"/>
      <c r="M137" s="356"/>
      <c r="N137" s="356"/>
      <c r="O137" s="484"/>
    </row>
    <row r="138" spans="1:15" ht="20.4">
      <c r="A138" s="441">
        <f t="shared" si="1"/>
        <v>76</v>
      </c>
      <c r="B138" s="501" t="s">
        <v>1753</v>
      </c>
      <c r="C138" s="466" t="s">
        <v>1754</v>
      </c>
      <c r="D138" s="473" t="s">
        <v>674</v>
      </c>
      <c r="E138" s="481">
        <v>1</v>
      </c>
      <c r="F138" s="471"/>
      <c r="G138" s="474">
        <f>E138*F138</f>
        <v>0</v>
      </c>
      <c r="H138" s="482"/>
      <c r="I138" s="483"/>
      <c r="L138" s="356"/>
      <c r="M138" s="356"/>
      <c r="N138" s="356"/>
      <c r="O138" s="484"/>
    </row>
    <row r="139" spans="1:15" ht="15">
      <c r="A139" s="441">
        <f t="shared" si="1"/>
        <v>77</v>
      </c>
      <c r="B139" s="466" t="s">
        <v>1755</v>
      </c>
      <c r="C139" s="466" t="s">
        <v>1756</v>
      </c>
      <c r="D139" s="473" t="s">
        <v>674</v>
      </c>
      <c r="E139" s="481">
        <v>1</v>
      </c>
      <c r="F139" s="471"/>
      <c r="G139" s="474">
        <f t="shared" si="2"/>
        <v>0</v>
      </c>
      <c r="H139" s="482"/>
      <c r="I139" s="483"/>
      <c r="L139" s="356"/>
      <c r="M139" s="356"/>
      <c r="N139" s="356"/>
      <c r="O139" s="484"/>
    </row>
    <row r="140" spans="1:15" ht="122.25" customHeight="1">
      <c r="A140" s="441">
        <f t="shared" si="1"/>
        <v>78</v>
      </c>
      <c r="B140" s="501" t="s">
        <v>1757</v>
      </c>
      <c r="C140" s="466" t="s">
        <v>1758</v>
      </c>
      <c r="D140" s="473" t="s">
        <v>1697</v>
      </c>
      <c r="E140" s="481">
        <v>2</v>
      </c>
      <c r="F140" s="471"/>
      <c r="G140" s="474">
        <f t="shared" si="2"/>
        <v>0</v>
      </c>
      <c r="H140" s="482"/>
      <c r="I140" s="483"/>
      <c r="L140" s="356"/>
      <c r="M140" s="356"/>
      <c r="N140" s="356"/>
      <c r="O140" s="484"/>
    </row>
    <row r="141" spans="1:15" ht="30.6">
      <c r="A141" s="441">
        <f t="shared" si="1"/>
        <v>79</v>
      </c>
      <c r="B141" s="501" t="s">
        <v>1759</v>
      </c>
      <c r="C141" s="466" t="s">
        <v>1760</v>
      </c>
      <c r="D141" s="473" t="s">
        <v>674</v>
      </c>
      <c r="E141" s="481">
        <v>4</v>
      </c>
      <c r="F141" s="471"/>
      <c r="G141" s="474">
        <f>E141*F141</f>
        <v>0</v>
      </c>
      <c r="H141" s="482"/>
      <c r="I141" s="483"/>
      <c r="L141" s="356"/>
      <c r="M141" s="356"/>
      <c r="N141" s="356"/>
      <c r="O141" s="484"/>
    </row>
    <row r="142" spans="1:15" ht="20.4">
      <c r="A142" s="441">
        <f t="shared" si="1"/>
        <v>80</v>
      </c>
      <c r="B142" s="501" t="s">
        <v>1761</v>
      </c>
      <c r="C142" s="466" t="s">
        <v>1762</v>
      </c>
      <c r="D142" s="473" t="s">
        <v>674</v>
      </c>
      <c r="E142" s="481">
        <v>1</v>
      </c>
      <c r="F142" s="471"/>
      <c r="G142" s="474">
        <f>E142*F142</f>
        <v>0</v>
      </c>
      <c r="H142" s="482"/>
      <c r="I142" s="483"/>
      <c r="L142" s="356"/>
      <c r="M142" s="356"/>
      <c r="N142" s="356"/>
      <c r="O142" s="484"/>
    </row>
    <row r="143" spans="1:15" ht="20.4">
      <c r="A143" s="441">
        <f t="shared" si="1"/>
        <v>81</v>
      </c>
      <c r="B143" s="501" t="s">
        <v>1763</v>
      </c>
      <c r="C143" s="466" t="s">
        <v>1764</v>
      </c>
      <c r="D143" s="473" t="s">
        <v>674</v>
      </c>
      <c r="E143" s="481">
        <v>8</v>
      </c>
      <c r="F143" s="471"/>
      <c r="G143" s="474">
        <f>E143*F143</f>
        <v>0</v>
      </c>
      <c r="H143" s="482"/>
      <c r="I143" s="483"/>
      <c r="L143" s="356"/>
      <c r="M143" s="356"/>
      <c r="N143" s="356"/>
      <c r="O143" s="484"/>
    </row>
    <row r="144" spans="1:15" ht="20.4">
      <c r="A144" s="441">
        <f t="shared" si="1"/>
        <v>82</v>
      </c>
      <c r="B144" s="466" t="s">
        <v>1765</v>
      </c>
      <c r="C144" s="501" t="s">
        <v>1766</v>
      </c>
      <c r="D144" s="473" t="s">
        <v>674</v>
      </c>
      <c r="E144" s="481">
        <v>1</v>
      </c>
      <c r="F144" s="471"/>
      <c r="G144" s="474">
        <f t="shared" si="2"/>
        <v>0</v>
      </c>
      <c r="H144" s="482"/>
      <c r="I144" s="483"/>
      <c r="L144" s="356"/>
      <c r="M144" s="356"/>
      <c r="N144" s="356"/>
      <c r="O144" s="484"/>
    </row>
    <row r="145" spans="1:15" ht="20.4">
      <c r="A145" s="441">
        <f t="shared" si="1"/>
        <v>83</v>
      </c>
      <c r="B145" s="466" t="s">
        <v>1767</v>
      </c>
      <c r="C145" s="466" t="s">
        <v>1768</v>
      </c>
      <c r="D145" s="473" t="s">
        <v>674</v>
      </c>
      <c r="E145" s="481">
        <v>18</v>
      </c>
      <c r="F145" s="471"/>
      <c r="G145" s="474">
        <f>E145*F145</f>
        <v>0</v>
      </c>
      <c r="H145" s="482"/>
      <c r="I145" s="483"/>
      <c r="L145" s="356"/>
      <c r="M145" s="356"/>
      <c r="N145" s="356"/>
      <c r="O145" s="484"/>
    </row>
    <row r="146" spans="1:15" ht="40.8">
      <c r="A146" s="441">
        <f t="shared" si="1"/>
        <v>84</v>
      </c>
      <c r="B146" s="466" t="s">
        <v>1769</v>
      </c>
      <c r="C146" s="466" t="s">
        <v>1770</v>
      </c>
      <c r="D146" s="473" t="s">
        <v>674</v>
      </c>
      <c r="E146" s="481">
        <v>1</v>
      </c>
      <c r="F146" s="471"/>
      <c r="G146" s="474">
        <f>E146*F146</f>
        <v>0</v>
      </c>
      <c r="H146" s="482"/>
      <c r="I146" s="483"/>
      <c r="L146" s="356"/>
      <c r="M146" s="356"/>
      <c r="N146" s="356"/>
      <c r="O146" s="484"/>
    </row>
    <row r="147" spans="1:15" ht="30.6">
      <c r="A147" s="441">
        <f t="shared" si="1"/>
        <v>85</v>
      </c>
      <c r="B147" s="501" t="s">
        <v>1771</v>
      </c>
      <c r="C147" s="466" t="s">
        <v>1772</v>
      </c>
      <c r="D147" s="473" t="s">
        <v>674</v>
      </c>
      <c r="E147" s="502">
        <v>1</v>
      </c>
      <c r="F147" s="471"/>
      <c r="G147" s="474">
        <f t="shared" si="2"/>
        <v>0</v>
      </c>
      <c r="H147" s="482"/>
      <c r="I147" s="483"/>
      <c r="L147" s="356"/>
      <c r="M147" s="356"/>
      <c r="N147" s="356"/>
      <c r="O147" s="484"/>
    </row>
    <row r="148" spans="1:15" ht="20.4">
      <c r="A148" s="441">
        <f t="shared" si="1"/>
        <v>86</v>
      </c>
      <c r="B148" s="501" t="s">
        <v>1773</v>
      </c>
      <c r="C148" s="501" t="s">
        <v>1774</v>
      </c>
      <c r="D148" s="473" t="s">
        <v>674</v>
      </c>
      <c r="E148" s="502">
        <v>1</v>
      </c>
      <c r="F148" s="471"/>
      <c r="G148" s="474">
        <f t="shared" si="2"/>
        <v>0</v>
      </c>
      <c r="H148" s="482"/>
      <c r="I148" s="483"/>
      <c r="L148" s="356"/>
      <c r="M148" s="356"/>
      <c r="N148" s="356"/>
      <c r="O148" s="484"/>
    </row>
    <row r="149" spans="1:15" ht="15">
      <c r="A149" s="441">
        <f t="shared" si="1"/>
        <v>87</v>
      </c>
      <c r="B149" s="466" t="s">
        <v>1775</v>
      </c>
      <c r="C149" s="496" t="s">
        <v>1776</v>
      </c>
      <c r="D149" s="473" t="s">
        <v>407</v>
      </c>
      <c r="E149" s="504">
        <v>150</v>
      </c>
      <c r="F149" s="488"/>
      <c r="G149" s="474">
        <f t="shared" si="2"/>
        <v>0</v>
      </c>
      <c r="H149" s="482"/>
      <c r="I149" s="483"/>
      <c r="L149" s="356"/>
      <c r="M149" s="356"/>
      <c r="N149" s="356"/>
      <c r="O149" s="484"/>
    </row>
    <row r="150" spans="1:15" ht="20.4">
      <c r="A150" s="441">
        <f t="shared" si="1"/>
        <v>88</v>
      </c>
      <c r="B150" s="501" t="s">
        <v>1777</v>
      </c>
      <c r="C150" s="501" t="s">
        <v>1778</v>
      </c>
      <c r="D150" s="473" t="s">
        <v>674</v>
      </c>
      <c r="E150" s="502">
        <v>1</v>
      </c>
      <c r="F150" s="471"/>
      <c r="G150" s="474">
        <f t="shared" si="2"/>
        <v>0</v>
      </c>
      <c r="H150" s="482"/>
      <c r="I150" s="483"/>
      <c r="L150" s="356"/>
      <c r="M150" s="356"/>
      <c r="N150" s="356"/>
      <c r="O150" s="484"/>
    </row>
    <row r="151" spans="1:15" ht="20.4">
      <c r="A151" s="441">
        <f t="shared" si="1"/>
        <v>89</v>
      </c>
      <c r="B151" s="501" t="s">
        <v>1779</v>
      </c>
      <c r="C151" s="501" t="s">
        <v>1780</v>
      </c>
      <c r="D151" s="473" t="s">
        <v>674</v>
      </c>
      <c r="E151" s="502">
        <v>1</v>
      </c>
      <c r="F151" s="471"/>
      <c r="G151" s="474">
        <f t="shared" si="2"/>
        <v>0</v>
      </c>
      <c r="H151" s="482"/>
      <c r="I151" s="483"/>
      <c r="L151" s="356"/>
      <c r="M151" s="356"/>
      <c r="N151" s="356"/>
      <c r="O151" s="484"/>
    </row>
    <row r="152" spans="1:15" ht="15">
      <c r="A152" s="441">
        <f t="shared" si="1"/>
        <v>90</v>
      </c>
      <c r="B152" s="466" t="s">
        <v>1781</v>
      </c>
      <c r="C152" s="466" t="s">
        <v>1782</v>
      </c>
      <c r="D152" s="473" t="s">
        <v>674</v>
      </c>
      <c r="E152" s="481">
        <v>2</v>
      </c>
      <c r="F152" s="471"/>
      <c r="G152" s="474">
        <f t="shared" si="2"/>
        <v>0</v>
      </c>
      <c r="H152" s="482"/>
      <c r="I152" s="483"/>
      <c r="L152" s="356"/>
      <c r="M152" s="356"/>
      <c r="N152" s="356"/>
      <c r="O152" s="484"/>
    </row>
    <row r="153" spans="1:15" ht="15">
      <c r="A153" s="441">
        <f t="shared" si="1"/>
        <v>91</v>
      </c>
      <c r="B153" s="466" t="s">
        <v>1783</v>
      </c>
      <c r="C153" s="466" t="s">
        <v>1784</v>
      </c>
      <c r="D153" s="473" t="s">
        <v>674</v>
      </c>
      <c r="E153" s="481">
        <v>2</v>
      </c>
      <c r="F153" s="471"/>
      <c r="G153" s="474">
        <f t="shared" si="2"/>
        <v>0</v>
      </c>
      <c r="H153" s="482"/>
      <c r="I153" s="483"/>
      <c r="L153" s="356"/>
      <c r="M153" s="356"/>
      <c r="N153" s="356"/>
      <c r="O153" s="484"/>
    </row>
    <row r="154" spans="1:15" ht="20.4">
      <c r="A154" s="441">
        <f t="shared" si="1"/>
        <v>92</v>
      </c>
      <c r="B154" s="501" t="s">
        <v>1785</v>
      </c>
      <c r="C154" s="501" t="s">
        <v>1786</v>
      </c>
      <c r="D154" s="501"/>
      <c r="E154" s="502">
        <v>1</v>
      </c>
      <c r="F154" s="471"/>
      <c r="G154" s="474">
        <f t="shared" si="2"/>
        <v>0</v>
      </c>
      <c r="H154" s="482"/>
      <c r="I154" s="483"/>
      <c r="L154" s="356"/>
      <c r="M154" s="356"/>
      <c r="N154" s="356"/>
      <c r="O154" s="484"/>
    </row>
    <row r="155" spans="1:15" ht="20.4">
      <c r="A155" s="441">
        <f t="shared" si="1"/>
        <v>93</v>
      </c>
      <c r="B155" s="501" t="s">
        <v>1787</v>
      </c>
      <c r="C155" s="466" t="s">
        <v>1788</v>
      </c>
      <c r="D155" s="473" t="s">
        <v>674</v>
      </c>
      <c r="E155" s="481">
        <v>1</v>
      </c>
      <c r="F155" s="471"/>
      <c r="G155" s="474">
        <f t="shared" si="2"/>
        <v>0</v>
      </c>
      <c r="H155" s="482"/>
      <c r="I155" s="483"/>
      <c r="L155" s="356"/>
      <c r="M155" s="356"/>
      <c r="N155" s="356"/>
      <c r="O155" s="484"/>
    </row>
    <row r="156" spans="1:15" ht="20.4">
      <c r="A156" s="441">
        <f t="shared" si="1"/>
        <v>94</v>
      </c>
      <c r="B156" s="501" t="s">
        <v>1789</v>
      </c>
      <c r="C156" s="466" t="s">
        <v>1790</v>
      </c>
      <c r="D156" s="473" t="s">
        <v>674</v>
      </c>
      <c r="E156" s="481">
        <v>1</v>
      </c>
      <c r="F156" s="471"/>
      <c r="G156" s="474">
        <f t="shared" si="2"/>
        <v>0</v>
      </c>
      <c r="H156" s="482"/>
      <c r="I156" s="483"/>
      <c r="L156" s="356"/>
      <c r="M156" s="356"/>
      <c r="N156" s="356"/>
      <c r="O156" s="484"/>
    </row>
    <row r="157" spans="1:15" ht="15">
      <c r="A157" s="441">
        <f t="shared" si="1"/>
        <v>95</v>
      </c>
      <c r="B157" s="466" t="s">
        <v>1791</v>
      </c>
      <c r="C157" s="466" t="s">
        <v>1792</v>
      </c>
      <c r="D157" s="473" t="s">
        <v>1697</v>
      </c>
      <c r="E157" s="481">
        <v>2</v>
      </c>
      <c r="F157" s="471"/>
      <c r="G157" s="474">
        <f t="shared" si="2"/>
        <v>0</v>
      </c>
      <c r="H157" s="482"/>
      <c r="I157" s="483"/>
      <c r="L157" s="356"/>
      <c r="M157" s="356"/>
      <c r="N157" s="356"/>
      <c r="O157" s="484"/>
    </row>
    <row r="158" spans="1:15" ht="15">
      <c r="A158" s="441">
        <f t="shared" si="1"/>
        <v>96</v>
      </c>
      <c r="B158" s="466" t="s">
        <v>1793</v>
      </c>
      <c r="C158" s="466" t="s">
        <v>1794</v>
      </c>
      <c r="D158" s="473" t="s">
        <v>674</v>
      </c>
      <c r="E158" s="481">
        <v>2</v>
      </c>
      <c r="F158" s="471"/>
      <c r="G158" s="474">
        <f t="shared" si="2"/>
        <v>0</v>
      </c>
      <c r="H158" s="482"/>
      <c r="I158" s="483"/>
      <c r="L158" s="356"/>
      <c r="M158" s="356"/>
      <c r="N158" s="356"/>
      <c r="O158" s="484"/>
    </row>
    <row r="159" spans="1:15" ht="15">
      <c r="A159" s="441">
        <f t="shared" si="1"/>
        <v>97</v>
      </c>
      <c r="B159" s="466" t="s">
        <v>1795</v>
      </c>
      <c r="C159" s="466" t="s">
        <v>1796</v>
      </c>
      <c r="D159" s="473" t="s">
        <v>674</v>
      </c>
      <c r="E159" s="481">
        <v>2</v>
      </c>
      <c r="F159" s="471"/>
      <c r="G159" s="474">
        <f t="shared" si="2"/>
        <v>0</v>
      </c>
      <c r="H159" s="482"/>
      <c r="I159" s="483"/>
      <c r="L159" s="356"/>
      <c r="M159" s="356"/>
      <c r="N159" s="356"/>
      <c r="O159" s="484"/>
    </row>
    <row r="160" spans="1:15" ht="15">
      <c r="A160" s="441">
        <f t="shared" si="1"/>
        <v>98</v>
      </c>
      <c r="B160" s="501" t="s">
        <v>1797</v>
      </c>
      <c r="C160" s="501" t="s">
        <v>1798</v>
      </c>
      <c r="D160" s="473" t="s">
        <v>209</v>
      </c>
      <c r="E160" s="505">
        <v>3</v>
      </c>
      <c r="F160" s="506"/>
      <c r="G160" s="474">
        <f t="shared" si="2"/>
        <v>0</v>
      </c>
      <c r="H160" s="482"/>
      <c r="I160" s="483"/>
      <c r="L160" s="356"/>
      <c r="M160" s="356"/>
      <c r="N160" s="356"/>
      <c r="O160" s="484"/>
    </row>
    <row r="161" spans="1:15" ht="15">
      <c r="A161" s="441">
        <f t="shared" si="1"/>
        <v>99</v>
      </c>
      <c r="B161" s="501" t="s">
        <v>1799</v>
      </c>
      <c r="C161" s="501" t="s">
        <v>1800</v>
      </c>
      <c r="D161" s="473" t="s">
        <v>209</v>
      </c>
      <c r="E161" s="505">
        <v>48</v>
      </c>
      <c r="F161" s="506"/>
      <c r="G161" s="474">
        <f t="shared" si="2"/>
        <v>0</v>
      </c>
      <c r="H161" s="482"/>
      <c r="I161" s="483"/>
      <c r="L161" s="356"/>
      <c r="M161" s="356"/>
      <c r="N161" s="356"/>
      <c r="O161" s="484"/>
    </row>
    <row r="162" spans="1:15" ht="15">
      <c r="A162" s="441">
        <f t="shared" si="1"/>
        <v>100</v>
      </c>
      <c r="B162" s="501" t="s">
        <v>1801</v>
      </c>
      <c r="C162" s="501" t="s">
        <v>1802</v>
      </c>
      <c r="D162" s="473" t="s">
        <v>209</v>
      </c>
      <c r="E162" s="505">
        <v>14</v>
      </c>
      <c r="F162" s="506"/>
      <c r="G162" s="474">
        <f t="shared" si="2"/>
        <v>0</v>
      </c>
      <c r="H162" s="482"/>
      <c r="I162" s="483"/>
      <c r="L162" s="356"/>
      <c r="M162" s="356"/>
      <c r="N162" s="356"/>
      <c r="O162" s="484"/>
    </row>
    <row r="163" spans="1:15" ht="15">
      <c r="A163" s="441">
        <f t="shared" si="1"/>
        <v>101</v>
      </c>
      <c r="B163" s="501" t="s">
        <v>1803</v>
      </c>
      <c r="C163" s="501" t="s">
        <v>1804</v>
      </c>
      <c r="D163" s="473" t="s">
        <v>209</v>
      </c>
      <c r="E163" s="505">
        <v>2</v>
      </c>
      <c r="F163" s="506"/>
      <c r="G163" s="474">
        <f t="shared" si="2"/>
        <v>0</v>
      </c>
      <c r="H163" s="482"/>
      <c r="I163" s="483"/>
      <c r="L163" s="356"/>
      <c r="M163" s="356"/>
      <c r="N163" s="356"/>
      <c r="O163" s="484"/>
    </row>
    <row r="164" spans="1:15" ht="15">
      <c r="A164" s="441">
        <f t="shared" si="1"/>
        <v>102</v>
      </c>
      <c r="B164" s="501" t="s">
        <v>1805</v>
      </c>
      <c r="C164" s="501" t="s">
        <v>1806</v>
      </c>
      <c r="D164" s="473" t="s">
        <v>209</v>
      </c>
      <c r="E164" s="505">
        <v>445</v>
      </c>
      <c r="F164" s="506"/>
      <c r="G164" s="474">
        <f t="shared" si="2"/>
        <v>0</v>
      </c>
      <c r="H164" s="482"/>
      <c r="I164" s="483"/>
      <c r="L164" s="356"/>
      <c r="M164" s="356"/>
      <c r="N164" s="356"/>
      <c r="O164" s="484"/>
    </row>
    <row r="165" spans="1:15" ht="15">
      <c r="A165" s="441">
        <f t="shared" si="1"/>
        <v>103</v>
      </c>
      <c r="B165" s="501" t="s">
        <v>1807</v>
      </c>
      <c r="C165" s="501" t="s">
        <v>1808</v>
      </c>
      <c r="D165" s="473" t="s">
        <v>674</v>
      </c>
      <c r="E165" s="505">
        <v>19</v>
      </c>
      <c r="F165" s="506"/>
      <c r="G165" s="474">
        <f t="shared" si="2"/>
        <v>0</v>
      </c>
      <c r="H165" s="482"/>
      <c r="I165" s="483"/>
      <c r="L165" s="356"/>
      <c r="M165" s="356"/>
      <c r="N165" s="356"/>
      <c r="O165" s="484"/>
    </row>
    <row r="166" spans="1:15" ht="15">
      <c r="A166" s="441">
        <f t="shared" si="1"/>
        <v>104</v>
      </c>
      <c r="B166" s="501" t="s">
        <v>1809</v>
      </c>
      <c r="C166" s="501" t="s">
        <v>1810</v>
      </c>
      <c r="D166" s="473" t="s">
        <v>674</v>
      </c>
      <c r="E166" s="505">
        <v>38</v>
      </c>
      <c r="F166" s="506"/>
      <c r="G166" s="474">
        <f t="shared" si="2"/>
        <v>0</v>
      </c>
      <c r="H166" s="482"/>
      <c r="I166" s="483"/>
      <c r="L166" s="356"/>
      <c r="M166" s="356"/>
      <c r="N166" s="356"/>
      <c r="O166" s="484"/>
    </row>
    <row r="167" spans="1:15" ht="15">
      <c r="A167" s="441">
        <f t="shared" si="1"/>
        <v>105</v>
      </c>
      <c r="B167" s="501" t="s">
        <v>1811</v>
      </c>
      <c r="C167" s="501" t="s">
        <v>1812</v>
      </c>
      <c r="D167" s="473" t="s">
        <v>674</v>
      </c>
      <c r="E167" s="505">
        <v>21</v>
      </c>
      <c r="F167" s="506"/>
      <c r="G167" s="474">
        <f t="shared" si="2"/>
        <v>0</v>
      </c>
      <c r="H167" s="482"/>
      <c r="I167" s="483"/>
      <c r="L167" s="356"/>
      <c r="M167" s="356"/>
      <c r="N167" s="356"/>
      <c r="O167" s="484"/>
    </row>
    <row r="168" spans="1:15" ht="15">
      <c r="A168" s="441">
        <f t="shared" si="1"/>
        <v>106</v>
      </c>
      <c r="B168" s="501" t="s">
        <v>1813</v>
      </c>
      <c r="C168" s="501" t="s">
        <v>1814</v>
      </c>
      <c r="D168" s="473" t="s">
        <v>674</v>
      </c>
      <c r="E168" s="505">
        <v>2</v>
      </c>
      <c r="F168" s="506"/>
      <c r="G168" s="474">
        <f t="shared" si="2"/>
        <v>0</v>
      </c>
      <c r="H168" s="482"/>
      <c r="I168" s="483"/>
      <c r="L168" s="356"/>
      <c r="M168" s="356"/>
      <c r="N168" s="356"/>
      <c r="O168" s="484"/>
    </row>
    <row r="169" spans="1:15" ht="15">
      <c r="A169" s="441">
        <f t="shared" si="1"/>
        <v>107</v>
      </c>
      <c r="B169" s="501" t="s">
        <v>1815</v>
      </c>
      <c r="C169" s="501" t="s">
        <v>1816</v>
      </c>
      <c r="D169" s="473" t="s">
        <v>674</v>
      </c>
      <c r="E169" s="505">
        <v>10</v>
      </c>
      <c r="F169" s="506"/>
      <c r="G169" s="474">
        <f t="shared" si="2"/>
        <v>0</v>
      </c>
      <c r="H169" s="482"/>
      <c r="I169" s="483"/>
      <c r="L169" s="356"/>
      <c r="M169" s="356"/>
      <c r="N169" s="356"/>
      <c r="O169" s="484"/>
    </row>
    <row r="170" spans="1:15" ht="15">
      <c r="A170" s="441">
        <f t="shared" si="1"/>
        <v>108</v>
      </c>
      <c r="B170" s="501" t="s">
        <v>1817</v>
      </c>
      <c r="C170" s="501" t="s">
        <v>1818</v>
      </c>
      <c r="D170" s="473" t="s">
        <v>674</v>
      </c>
      <c r="E170" s="505">
        <v>12</v>
      </c>
      <c r="F170" s="506"/>
      <c r="G170" s="474">
        <f t="shared" si="2"/>
        <v>0</v>
      </c>
      <c r="H170" s="482"/>
      <c r="I170" s="483"/>
      <c r="L170" s="356"/>
      <c r="M170" s="356"/>
      <c r="N170" s="356"/>
      <c r="O170" s="484"/>
    </row>
    <row r="171" spans="1:15" ht="15">
      <c r="A171" s="441">
        <f t="shared" si="1"/>
        <v>109</v>
      </c>
      <c r="B171" s="501" t="s">
        <v>1819</v>
      </c>
      <c r="C171" s="501" t="s">
        <v>1820</v>
      </c>
      <c r="D171" s="473" t="s">
        <v>674</v>
      </c>
      <c r="E171" s="505">
        <v>6</v>
      </c>
      <c r="F171" s="506"/>
      <c r="G171" s="474">
        <f t="shared" si="2"/>
        <v>0</v>
      </c>
      <c r="H171" s="482"/>
      <c r="I171" s="483"/>
      <c r="L171" s="356"/>
      <c r="M171" s="356"/>
      <c r="N171" s="356"/>
      <c r="O171" s="484"/>
    </row>
    <row r="172" spans="1:15" ht="15">
      <c r="A172" s="441">
        <f t="shared" si="1"/>
        <v>110</v>
      </c>
      <c r="B172" s="501" t="s">
        <v>1821</v>
      </c>
      <c r="C172" s="501" t="s">
        <v>1822</v>
      </c>
      <c r="D172" s="473" t="s">
        <v>674</v>
      </c>
      <c r="E172" s="505">
        <v>8</v>
      </c>
      <c r="F172" s="506"/>
      <c r="G172" s="474">
        <f t="shared" si="2"/>
        <v>0</v>
      </c>
      <c r="H172" s="482"/>
      <c r="I172" s="483"/>
      <c r="L172" s="356"/>
      <c r="M172" s="356"/>
      <c r="N172" s="356"/>
      <c r="O172" s="484"/>
    </row>
    <row r="173" spans="1:15" ht="15">
      <c r="A173" s="441">
        <f t="shared" si="1"/>
        <v>111</v>
      </c>
      <c r="B173" s="501" t="s">
        <v>1823</v>
      </c>
      <c r="C173" s="501" t="s">
        <v>1824</v>
      </c>
      <c r="D173" s="473" t="s">
        <v>674</v>
      </c>
      <c r="E173" s="505">
        <v>78</v>
      </c>
      <c r="F173" s="506"/>
      <c r="G173" s="474">
        <f t="shared" si="2"/>
        <v>0</v>
      </c>
      <c r="H173" s="482"/>
      <c r="I173" s="483"/>
      <c r="L173" s="356"/>
      <c r="M173" s="356"/>
      <c r="N173" s="356"/>
      <c r="O173" s="484"/>
    </row>
    <row r="174" spans="1:15" ht="15">
      <c r="A174" s="441">
        <f t="shared" si="1"/>
        <v>112</v>
      </c>
      <c r="B174" s="501" t="s">
        <v>1825</v>
      </c>
      <c r="C174" s="501" t="s">
        <v>1826</v>
      </c>
      <c r="D174" s="473" t="s">
        <v>674</v>
      </c>
      <c r="E174" s="505">
        <v>92</v>
      </c>
      <c r="F174" s="506"/>
      <c r="G174" s="474">
        <f t="shared" si="2"/>
        <v>0</v>
      </c>
      <c r="H174" s="482"/>
      <c r="I174" s="483"/>
      <c r="L174" s="356"/>
      <c r="M174" s="356"/>
      <c r="N174" s="356"/>
      <c r="O174" s="484"/>
    </row>
    <row r="175" spans="1:15" ht="15">
      <c r="A175" s="441">
        <f t="shared" si="1"/>
        <v>113</v>
      </c>
      <c r="B175" s="501" t="s">
        <v>1827</v>
      </c>
      <c r="C175" s="501" t="s">
        <v>1828</v>
      </c>
      <c r="D175" s="473" t="s">
        <v>674</v>
      </c>
      <c r="E175" s="505">
        <v>4</v>
      </c>
      <c r="F175" s="506"/>
      <c r="G175" s="474">
        <f t="shared" si="2"/>
        <v>0</v>
      </c>
      <c r="H175" s="482"/>
      <c r="I175" s="483"/>
      <c r="L175" s="356"/>
      <c r="M175" s="356"/>
      <c r="N175" s="356"/>
      <c r="O175" s="484"/>
    </row>
    <row r="176" spans="1:15" ht="15">
      <c r="A176" s="441">
        <f t="shared" si="1"/>
        <v>114</v>
      </c>
      <c r="B176" s="501" t="s">
        <v>1829</v>
      </c>
      <c r="C176" s="501" t="s">
        <v>1830</v>
      </c>
      <c r="D176" s="473" t="s">
        <v>674</v>
      </c>
      <c r="E176" s="505">
        <v>37</v>
      </c>
      <c r="F176" s="506"/>
      <c r="G176" s="474">
        <f t="shared" si="2"/>
        <v>0</v>
      </c>
      <c r="H176" s="482"/>
      <c r="I176" s="483"/>
      <c r="L176" s="356"/>
      <c r="M176" s="356"/>
      <c r="N176" s="356"/>
      <c r="O176" s="484"/>
    </row>
    <row r="177" spans="1:15" ht="15">
      <c r="A177" s="441">
        <f t="shared" si="1"/>
        <v>115</v>
      </c>
      <c r="B177" s="501" t="s">
        <v>1831</v>
      </c>
      <c r="C177" s="501" t="s">
        <v>1832</v>
      </c>
      <c r="D177" s="473" t="s">
        <v>674</v>
      </c>
      <c r="E177" s="505">
        <v>18</v>
      </c>
      <c r="F177" s="506"/>
      <c r="G177" s="474">
        <f t="shared" si="2"/>
        <v>0</v>
      </c>
      <c r="H177" s="482"/>
      <c r="I177" s="483"/>
      <c r="L177" s="356"/>
      <c r="M177" s="356"/>
      <c r="N177" s="356"/>
      <c r="O177" s="484"/>
    </row>
    <row r="178" spans="1:15" ht="15">
      <c r="A178" s="441">
        <f t="shared" si="1"/>
        <v>116</v>
      </c>
      <c r="B178" s="501" t="s">
        <v>1833</v>
      </c>
      <c r="C178" s="501" t="s">
        <v>1834</v>
      </c>
      <c r="D178" s="473" t="s">
        <v>674</v>
      </c>
      <c r="E178" s="505">
        <v>4</v>
      </c>
      <c r="F178" s="506"/>
      <c r="G178" s="474">
        <f t="shared" si="2"/>
        <v>0</v>
      </c>
      <c r="H178" s="482"/>
      <c r="I178" s="483"/>
      <c r="L178" s="356"/>
      <c r="M178" s="356"/>
      <c r="N178" s="356"/>
      <c r="O178" s="484"/>
    </row>
    <row r="179" spans="1:15" ht="15">
      <c r="A179" s="441">
        <f t="shared" si="1"/>
        <v>117</v>
      </c>
      <c r="B179" s="501" t="s">
        <v>1835</v>
      </c>
      <c r="C179" s="501" t="s">
        <v>1836</v>
      </c>
      <c r="D179" s="473" t="s">
        <v>674</v>
      </c>
      <c r="E179" s="505">
        <v>22</v>
      </c>
      <c r="F179" s="506"/>
      <c r="G179" s="474">
        <f t="shared" si="2"/>
        <v>0</v>
      </c>
      <c r="H179" s="482"/>
      <c r="I179" s="483"/>
      <c r="L179" s="356"/>
      <c r="M179" s="356"/>
      <c r="N179" s="356"/>
      <c r="O179" s="484"/>
    </row>
    <row r="180" spans="1:15" ht="15">
      <c r="A180" s="441">
        <f t="shared" si="1"/>
        <v>118</v>
      </c>
      <c r="B180" s="501" t="s">
        <v>1837</v>
      </c>
      <c r="C180" s="501" t="s">
        <v>1838</v>
      </c>
      <c r="D180" s="473" t="s">
        <v>674</v>
      </c>
      <c r="E180" s="505">
        <v>18</v>
      </c>
      <c r="F180" s="506"/>
      <c r="G180" s="474">
        <f t="shared" si="2"/>
        <v>0</v>
      </c>
      <c r="H180" s="482"/>
      <c r="I180" s="483"/>
      <c r="L180" s="356"/>
      <c r="M180" s="356"/>
      <c r="N180" s="356"/>
      <c r="O180" s="484"/>
    </row>
    <row r="181" spans="1:15" ht="15">
      <c r="A181" s="441">
        <f t="shared" si="1"/>
        <v>119</v>
      </c>
      <c r="B181" s="501" t="s">
        <v>1839</v>
      </c>
      <c r="C181" s="501" t="s">
        <v>1840</v>
      </c>
      <c r="D181" s="473" t="s">
        <v>674</v>
      </c>
      <c r="E181" s="505">
        <v>1</v>
      </c>
      <c r="F181" s="506"/>
      <c r="G181" s="474">
        <f t="shared" si="2"/>
        <v>0</v>
      </c>
      <c r="H181" s="482"/>
      <c r="I181" s="483"/>
      <c r="L181" s="356"/>
      <c r="M181" s="356"/>
      <c r="N181" s="356"/>
      <c r="O181" s="484"/>
    </row>
    <row r="182" spans="1:15" ht="15">
      <c r="A182" s="441">
        <f t="shared" si="1"/>
        <v>120</v>
      </c>
      <c r="B182" s="501" t="s">
        <v>1841</v>
      </c>
      <c r="C182" s="501" t="s">
        <v>1842</v>
      </c>
      <c r="D182" s="473" t="s">
        <v>674</v>
      </c>
      <c r="E182" s="505">
        <v>2</v>
      </c>
      <c r="F182" s="506"/>
      <c r="G182" s="474">
        <f t="shared" si="2"/>
        <v>0</v>
      </c>
      <c r="H182" s="482"/>
      <c r="I182" s="483"/>
      <c r="L182" s="356"/>
      <c r="M182" s="356"/>
      <c r="N182" s="356"/>
      <c r="O182" s="484"/>
    </row>
    <row r="183" spans="1:15" ht="15">
      <c r="A183" s="441">
        <f t="shared" si="1"/>
        <v>121</v>
      </c>
      <c r="B183" s="501" t="s">
        <v>1843</v>
      </c>
      <c r="C183" s="501" t="s">
        <v>1844</v>
      </c>
      <c r="D183" s="473" t="s">
        <v>674</v>
      </c>
      <c r="E183" s="505">
        <v>20</v>
      </c>
      <c r="F183" s="506"/>
      <c r="G183" s="474">
        <f t="shared" si="2"/>
        <v>0</v>
      </c>
      <c r="H183" s="482"/>
      <c r="I183" s="483"/>
      <c r="L183" s="356"/>
      <c r="M183" s="356"/>
      <c r="N183" s="356"/>
      <c r="O183" s="484"/>
    </row>
    <row r="184" spans="1:15" ht="15">
      <c r="A184" s="441">
        <f t="shared" si="1"/>
        <v>122</v>
      </c>
      <c r="B184" s="501" t="s">
        <v>1845</v>
      </c>
      <c r="C184" s="501" t="s">
        <v>1846</v>
      </c>
      <c r="D184" s="473" t="s">
        <v>674</v>
      </c>
      <c r="E184" s="505">
        <v>4</v>
      </c>
      <c r="F184" s="506"/>
      <c r="G184" s="474">
        <f t="shared" si="2"/>
        <v>0</v>
      </c>
      <c r="H184" s="482"/>
      <c r="I184" s="483"/>
      <c r="L184" s="356"/>
      <c r="M184" s="356"/>
      <c r="N184" s="356"/>
      <c r="O184" s="484"/>
    </row>
    <row r="185" spans="1:15" ht="15">
      <c r="A185" s="441">
        <f t="shared" si="1"/>
        <v>123</v>
      </c>
      <c r="B185" s="501" t="s">
        <v>1847</v>
      </c>
      <c r="C185" s="501" t="s">
        <v>1848</v>
      </c>
      <c r="D185" s="473" t="s">
        <v>674</v>
      </c>
      <c r="E185" s="505">
        <v>18</v>
      </c>
      <c r="F185" s="506"/>
      <c r="G185" s="474">
        <f t="shared" si="2"/>
        <v>0</v>
      </c>
      <c r="H185" s="482"/>
      <c r="I185" s="483"/>
      <c r="L185" s="356"/>
      <c r="M185" s="356"/>
      <c r="N185" s="356"/>
      <c r="O185" s="484"/>
    </row>
    <row r="186" spans="1:15" ht="15">
      <c r="A186" s="441">
        <f t="shared" si="1"/>
        <v>124</v>
      </c>
      <c r="B186" s="501" t="s">
        <v>1849</v>
      </c>
      <c r="C186" s="501" t="s">
        <v>1850</v>
      </c>
      <c r="D186" s="473" t="s">
        <v>674</v>
      </c>
      <c r="E186" s="505">
        <v>2</v>
      </c>
      <c r="F186" s="506"/>
      <c r="G186" s="474">
        <f t="shared" si="2"/>
        <v>0</v>
      </c>
      <c r="H186" s="482"/>
      <c r="I186" s="483"/>
      <c r="L186" s="356"/>
      <c r="M186" s="356"/>
      <c r="N186" s="356"/>
      <c r="O186" s="484"/>
    </row>
    <row r="187" spans="1:15" ht="15">
      <c r="A187" s="441">
        <f t="shared" si="1"/>
        <v>125</v>
      </c>
      <c r="B187" s="501" t="s">
        <v>1851</v>
      </c>
      <c r="C187" s="501" t="s">
        <v>1852</v>
      </c>
      <c r="D187" s="473" t="s">
        <v>674</v>
      </c>
      <c r="E187" s="505">
        <v>2</v>
      </c>
      <c r="F187" s="506"/>
      <c r="G187" s="474">
        <f t="shared" si="2"/>
        <v>0</v>
      </c>
      <c r="H187" s="482"/>
      <c r="I187" s="483"/>
      <c r="L187" s="356"/>
      <c r="M187" s="356"/>
      <c r="N187" s="356"/>
      <c r="O187" s="484"/>
    </row>
    <row r="188" spans="1:15" ht="15">
      <c r="A188" s="441">
        <f aca="true" t="shared" si="3" ref="A188:A215">A187+1</f>
        <v>126</v>
      </c>
      <c r="B188" s="501" t="s">
        <v>1853</v>
      </c>
      <c r="C188" s="501" t="s">
        <v>1854</v>
      </c>
      <c r="D188" s="473" t="s">
        <v>674</v>
      </c>
      <c r="E188" s="505">
        <v>2</v>
      </c>
      <c r="F188" s="506"/>
      <c r="G188" s="474">
        <f t="shared" si="2"/>
        <v>0</v>
      </c>
      <c r="H188" s="482"/>
      <c r="I188" s="483"/>
      <c r="L188" s="356"/>
      <c r="M188" s="356"/>
      <c r="N188" s="356"/>
      <c r="O188" s="484"/>
    </row>
    <row r="189" spans="1:15" ht="15">
      <c r="A189" s="441">
        <f t="shared" si="3"/>
        <v>127</v>
      </c>
      <c r="B189" s="501" t="s">
        <v>1855</v>
      </c>
      <c r="C189" s="501" t="s">
        <v>1856</v>
      </c>
      <c r="D189" s="473" t="s">
        <v>674</v>
      </c>
      <c r="E189" s="505">
        <v>2</v>
      </c>
      <c r="F189" s="506"/>
      <c r="G189" s="474">
        <f t="shared" si="2"/>
        <v>0</v>
      </c>
      <c r="H189" s="482"/>
      <c r="I189" s="483"/>
      <c r="L189" s="356"/>
      <c r="M189" s="356"/>
      <c r="N189" s="356"/>
      <c r="O189" s="484"/>
    </row>
    <row r="190" spans="1:15" ht="15">
      <c r="A190" s="441">
        <f t="shared" si="3"/>
        <v>128</v>
      </c>
      <c r="B190" s="501" t="s">
        <v>1857</v>
      </c>
      <c r="C190" s="501" t="s">
        <v>1858</v>
      </c>
      <c r="D190" s="473" t="s">
        <v>674</v>
      </c>
      <c r="E190" s="505">
        <v>2</v>
      </c>
      <c r="F190" s="506"/>
      <c r="G190" s="474">
        <f aca="true" t="shared" si="4" ref="G190:G210">E190*F190</f>
        <v>0</v>
      </c>
      <c r="H190" s="482"/>
      <c r="I190" s="483"/>
      <c r="L190" s="356"/>
      <c r="M190" s="356"/>
      <c r="N190" s="356"/>
      <c r="O190" s="484"/>
    </row>
    <row r="191" spans="1:15" ht="15">
      <c r="A191" s="441">
        <f t="shared" si="3"/>
        <v>129</v>
      </c>
      <c r="B191" s="501" t="s">
        <v>1859</v>
      </c>
      <c r="C191" s="501" t="s">
        <v>1860</v>
      </c>
      <c r="D191" s="473" t="s">
        <v>674</v>
      </c>
      <c r="E191" s="505">
        <v>118</v>
      </c>
      <c r="F191" s="506"/>
      <c r="G191" s="474">
        <f t="shared" si="4"/>
        <v>0</v>
      </c>
      <c r="H191" s="482"/>
      <c r="I191" s="483"/>
      <c r="L191" s="356"/>
      <c r="M191" s="356"/>
      <c r="N191" s="356"/>
      <c r="O191" s="484"/>
    </row>
    <row r="192" spans="1:15" ht="15">
      <c r="A192" s="441">
        <f t="shared" si="3"/>
        <v>130</v>
      </c>
      <c r="B192" s="501" t="s">
        <v>1861</v>
      </c>
      <c r="C192" s="501" t="s">
        <v>1862</v>
      </c>
      <c r="D192" s="473" t="s">
        <v>674</v>
      </c>
      <c r="E192" s="505">
        <v>28</v>
      </c>
      <c r="F192" s="506"/>
      <c r="G192" s="474">
        <f t="shared" si="4"/>
        <v>0</v>
      </c>
      <c r="H192" s="482"/>
      <c r="I192" s="483"/>
      <c r="L192" s="356"/>
      <c r="M192" s="356"/>
      <c r="N192" s="356"/>
      <c r="O192" s="484"/>
    </row>
    <row r="193" spans="1:15" ht="15">
      <c r="A193" s="441">
        <f t="shared" si="3"/>
        <v>131</v>
      </c>
      <c r="B193" s="501" t="s">
        <v>1863</v>
      </c>
      <c r="C193" s="501" t="s">
        <v>1864</v>
      </c>
      <c r="D193" s="473" t="s">
        <v>674</v>
      </c>
      <c r="E193" s="505">
        <v>8</v>
      </c>
      <c r="F193" s="506"/>
      <c r="G193" s="474">
        <f t="shared" si="4"/>
        <v>0</v>
      </c>
      <c r="H193" s="482"/>
      <c r="I193" s="483"/>
      <c r="L193" s="356"/>
      <c r="M193" s="356"/>
      <c r="N193" s="356"/>
      <c r="O193" s="484"/>
    </row>
    <row r="194" spans="1:15" ht="15">
      <c r="A194" s="441">
        <f t="shared" si="3"/>
        <v>132</v>
      </c>
      <c r="B194" s="501" t="s">
        <v>1865</v>
      </c>
      <c r="C194" s="501" t="s">
        <v>1866</v>
      </c>
      <c r="D194" s="473" t="s">
        <v>674</v>
      </c>
      <c r="E194" s="505">
        <v>6</v>
      </c>
      <c r="F194" s="506"/>
      <c r="G194" s="474">
        <f t="shared" si="4"/>
        <v>0</v>
      </c>
      <c r="H194" s="482"/>
      <c r="I194" s="483"/>
      <c r="L194" s="356"/>
      <c r="M194" s="356"/>
      <c r="N194" s="356"/>
      <c r="O194" s="484"/>
    </row>
    <row r="195" spans="1:15" ht="15">
      <c r="A195" s="441">
        <f t="shared" si="3"/>
        <v>133</v>
      </c>
      <c r="B195" s="501" t="s">
        <v>1867</v>
      </c>
      <c r="C195" s="501" t="s">
        <v>1868</v>
      </c>
      <c r="D195" s="473" t="s">
        <v>674</v>
      </c>
      <c r="E195" s="505">
        <v>6</v>
      </c>
      <c r="F195" s="506"/>
      <c r="G195" s="474">
        <f t="shared" si="4"/>
        <v>0</v>
      </c>
      <c r="H195" s="482"/>
      <c r="I195" s="483"/>
      <c r="L195" s="356"/>
      <c r="M195" s="356"/>
      <c r="N195" s="356"/>
      <c r="O195" s="484"/>
    </row>
    <row r="196" spans="1:15" ht="15">
      <c r="A196" s="441">
        <f t="shared" si="3"/>
        <v>134</v>
      </c>
      <c r="B196" s="501" t="s">
        <v>1869</v>
      </c>
      <c r="C196" s="501" t="s">
        <v>1870</v>
      </c>
      <c r="D196" s="473" t="s">
        <v>674</v>
      </c>
      <c r="E196" s="505">
        <v>16</v>
      </c>
      <c r="F196" s="506"/>
      <c r="G196" s="474">
        <f t="shared" si="4"/>
        <v>0</v>
      </c>
      <c r="H196" s="482"/>
      <c r="I196" s="483"/>
      <c r="L196" s="356"/>
      <c r="M196" s="356"/>
      <c r="N196" s="356"/>
      <c r="O196" s="484"/>
    </row>
    <row r="197" spans="1:15" ht="15">
      <c r="A197" s="441">
        <f t="shared" si="3"/>
        <v>135</v>
      </c>
      <c r="B197" s="501" t="s">
        <v>1871</v>
      </c>
      <c r="C197" s="501" t="s">
        <v>1872</v>
      </c>
      <c r="D197" s="473" t="s">
        <v>674</v>
      </c>
      <c r="E197" s="505">
        <v>12</v>
      </c>
      <c r="F197" s="506"/>
      <c r="G197" s="474">
        <f t="shared" si="4"/>
        <v>0</v>
      </c>
      <c r="H197" s="482"/>
      <c r="I197" s="483"/>
      <c r="L197" s="356"/>
      <c r="M197" s="356"/>
      <c r="N197" s="356"/>
      <c r="O197" s="484"/>
    </row>
    <row r="198" spans="1:15" ht="15">
      <c r="A198" s="441">
        <f t="shared" si="3"/>
        <v>136</v>
      </c>
      <c r="B198" s="501" t="s">
        <v>1873</v>
      </c>
      <c r="C198" s="501" t="s">
        <v>1874</v>
      </c>
      <c r="D198" s="473" t="s">
        <v>674</v>
      </c>
      <c r="E198" s="505">
        <v>10</v>
      </c>
      <c r="F198" s="506"/>
      <c r="G198" s="474">
        <f t="shared" si="4"/>
        <v>0</v>
      </c>
      <c r="H198" s="482"/>
      <c r="I198" s="483"/>
      <c r="L198" s="356"/>
      <c r="M198" s="356"/>
      <c r="N198" s="356"/>
      <c r="O198" s="484"/>
    </row>
    <row r="199" spans="1:15" ht="15">
      <c r="A199" s="441">
        <f t="shared" si="3"/>
        <v>137</v>
      </c>
      <c r="B199" s="501" t="s">
        <v>1875</v>
      </c>
      <c r="C199" s="501" t="s">
        <v>1876</v>
      </c>
      <c r="D199" s="473" t="s">
        <v>674</v>
      </c>
      <c r="E199" s="505">
        <v>4</v>
      </c>
      <c r="F199" s="506"/>
      <c r="G199" s="474">
        <f t="shared" si="4"/>
        <v>0</v>
      </c>
      <c r="H199" s="482"/>
      <c r="I199" s="483"/>
      <c r="L199" s="356"/>
      <c r="M199" s="356"/>
      <c r="N199" s="356"/>
      <c r="O199" s="484"/>
    </row>
    <row r="200" spans="1:15" ht="15">
      <c r="A200" s="441">
        <f t="shared" si="3"/>
        <v>138</v>
      </c>
      <c r="B200" s="501" t="s">
        <v>1877</v>
      </c>
      <c r="C200" s="501" t="s">
        <v>1878</v>
      </c>
      <c r="D200" s="473" t="s">
        <v>674</v>
      </c>
      <c r="E200" s="505">
        <v>2</v>
      </c>
      <c r="F200" s="506"/>
      <c r="G200" s="474">
        <f t="shared" si="4"/>
        <v>0</v>
      </c>
      <c r="H200" s="482"/>
      <c r="I200" s="483"/>
      <c r="L200" s="356"/>
      <c r="M200" s="356"/>
      <c r="N200" s="356"/>
      <c r="O200" s="484"/>
    </row>
    <row r="201" spans="1:15" ht="15">
      <c r="A201" s="441">
        <f t="shared" si="3"/>
        <v>139</v>
      </c>
      <c r="B201" s="501" t="s">
        <v>1879</v>
      </c>
      <c r="C201" s="501" t="s">
        <v>1880</v>
      </c>
      <c r="D201" s="473" t="s">
        <v>674</v>
      </c>
      <c r="E201" s="505">
        <v>3</v>
      </c>
      <c r="F201" s="506"/>
      <c r="G201" s="474">
        <f t="shared" si="4"/>
        <v>0</v>
      </c>
      <c r="H201" s="482"/>
      <c r="I201" s="483"/>
      <c r="L201" s="356"/>
      <c r="M201" s="356"/>
      <c r="N201" s="356"/>
      <c r="O201" s="484"/>
    </row>
    <row r="202" spans="1:15" ht="15">
      <c r="A202" s="441">
        <f t="shared" si="3"/>
        <v>140</v>
      </c>
      <c r="B202" s="501" t="s">
        <v>1881</v>
      </c>
      <c r="C202" s="501" t="s">
        <v>1882</v>
      </c>
      <c r="D202" s="473" t="s">
        <v>674</v>
      </c>
      <c r="E202" s="505">
        <v>1</v>
      </c>
      <c r="F202" s="506"/>
      <c r="G202" s="474">
        <f t="shared" si="4"/>
        <v>0</v>
      </c>
      <c r="H202" s="482"/>
      <c r="I202" s="483"/>
      <c r="L202" s="356"/>
      <c r="M202" s="356"/>
      <c r="N202" s="356"/>
      <c r="O202" s="484"/>
    </row>
    <row r="203" spans="1:15" ht="15">
      <c r="A203" s="441">
        <f t="shared" si="3"/>
        <v>141</v>
      </c>
      <c r="B203" s="501" t="s">
        <v>1883</v>
      </c>
      <c r="C203" s="501" t="s">
        <v>1884</v>
      </c>
      <c r="D203" s="473" t="s">
        <v>674</v>
      </c>
      <c r="E203" s="505">
        <v>6</v>
      </c>
      <c r="F203" s="506"/>
      <c r="G203" s="474">
        <f t="shared" si="4"/>
        <v>0</v>
      </c>
      <c r="H203" s="482"/>
      <c r="I203" s="483"/>
      <c r="L203" s="356"/>
      <c r="M203" s="356"/>
      <c r="N203" s="356"/>
      <c r="O203" s="484"/>
    </row>
    <row r="204" spans="1:15" ht="15">
      <c r="A204" s="441">
        <f t="shared" si="3"/>
        <v>142</v>
      </c>
      <c r="B204" s="466" t="s">
        <v>1885</v>
      </c>
      <c r="C204" s="466" t="s">
        <v>1886</v>
      </c>
      <c r="D204" s="473" t="s">
        <v>209</v>
      </c>
      <c r="E204" s="481">
        <v>385</v>
      </c>
      <c r="F204" s="471"/>
      <c r="G204" s="474">
        <f t="shared" si="4"/>
        <v>0</v>
      </c>
      <c r="H204" s="482"/>
      <c r="I204" s="483"/>
      <c r="L204" s="356"/>
      <c r="M204" s="356"/>
      <c r="N204" s="356"/>
      <c r="O204" s="484"/>
    </row>
    <row r="205" spans="1:15" ht="15">
      <c r="A205" s="441">
        <f t="shared" si="3"/>
        <v>143</v>
      </c>
      <c r="B205" s="466" t="s">
        <v>1887</v>
      </c>
      <c r="C205" s="466" t="s">
        <v>1888</v>
      </c>
      <c r="D205" s="473" t="s">
        <v>674</v>
      </c>
      <c r="E205" s="481">
        <v>16</v>
      </c>
      <c r="F205" s="471"/>
      <c r="G205" s="474">
        <f t="shared" si="4"/>
        <v>0</v>
      </c>
      <c r="H205" s="482"/>
      <c r="I205" s="483"/>
      <c r="L205" s="356"/>
      <c r="M205" s="356"/>
      <c r="N205" s="356"/>
      <c r="O205" s="484"/>
    </row>
    <row r="206" spans="1:15" ht="15">
      <c r="A206" s="441">
        <f t="shared" si="3"/>
        <v>144</v>
      </c>
      <c r="B206" s="466" t="s">
        <v>1889</v>
      </c>
      <c r="C206" s="466" t="s">
        <v>1890</v>
      </c>
      <c r="D206" s="473" t="s">
        <v>674</v>
      </c>
      <c r="E206" s="481">
        <v>14</v>
      </c>
      <c r="F206" s="471"/>
      <c r="G206" s="474">
        <f t="shared" si="4"/>
        <v>0</v>
      </c>
      <c r="H206" s="482"/>
      <c r="I206" s="483"/>
      <c r="L206" s="356"/>
      <c r="M206" s="356"/>
      <c r="N206" s="356"/>
      <c r="O206" s="484"/>
    </row>
    <row r="207" spans="1:15" ht="15">
      <c r="A207" s="441">
        <f t="shared" si="3"/>
        <v>145</v>
      </c>
      <c r="B207" s="466" t="s">
        <v>1891</v>
      </c>
      <c r="C207" s="466" t="s">
        <v>1892</v>
      </c>
      <c r="D207" s="473" t="s">
        <v>209</v>
      </c>
      <c r="E207" s="481">
        <v>184</v>
      </c>
      <c r="F207" s="471"/>
      <c r="G207" s="474">
        <f t="shared" si="4"/>
        <v>0</v>
      </c>
      <c r="H207" s="482"/>
      <c r="I207" s="483"/>
      <c r="L207" s="356"/>
      <c r="M207" s="356"/>
      <c r="N207" s="356"/>
      <c r="O207" s="484"/>
    </row>
    <row r="208" spans="1:15" ht="20.4">
      <c r="A208" s="441">
        <f t="shared" si="3"/>
        <v>146</v>
      </c>
      <c r="B208" s="466" t="s">
        <v>1893</v>
      </c>
      <c r="C208" s="466" t="s">
        <v>1894</v>
      </c>
      <c r="D208" s="473" t="s">
        <v>674</v>
      </c>
      <c r="E208" s="481">
        <v>1</v>
      </c>
      <c r="F208" s="471"/>
      <c r="G208" s="474">
        <f t="shared" si="4"/>
        <v>0</v>
      </c>
      <c r="H208" s="482"/>
      <c r="I208" s="483"/>
      <c r="L208" s="356"/>
      <c r="M208" s="356"/>
      <c r="N208" s="356"/>
      <c r="O208" s="484"/>
    </row>
    <row r="209" spans="1:15" ht="15">
      <c r="A209" s="441">
        <f t="shared" si="3"/>
        <v>147</v>
      </c>
      <c r="B209" s="466" t="s">
        <v>1891</v>
      </c>
      <c r="C209" s="466" t="s">
        <v>1895</v>
      </c>
      <c r="D209" s="473" t="s">
        <v>209</v>
      </c>
      <c r="E209" s="481">
        <v>59</v>
      </c>
      <c r="F209" s="471"/>
      <c r="G209" s="474">
        <f t="shared" si="4"/>
        <v>0</v>
      </c>
      <c r="H209" s="482"/>
      <c r="I209" s="483"/>
      <c r="L209" s="356"/>
      <c r="M209" s="356"/>
      <c r="N209" s="356"/>
      <c r="O209" s="484"/>
    </row>
    <row r="210" spans="1:15" ht="15">
      <c r="A210" s="441">
        <f t="shared" si="3"/>
        <v>148</v>
      </c>
      <c r="B210" s="466" t="s">
        <v>1896</v>
      </c>
      <c r="C210" s="466" t="s">
        <v>1897</v>
      </c>
      <c r="D210" s="473" t="s">
        <v>209</v>
      </c>
      <c r="E210" s="481">
        <v>59</v>
      </c>
      <c r="F210" s="471"/>
      <c r="G210" s="474">
        <f t="shared" si="4"/>
        <v>0</v>
      </c>
      <c r="H210" s="482"/>
      <c r="I210" s="483"/>
      <c r="L210" s="356"/>
      <c r="M210" s="356"/>
      <c r="N210" s="356"/>
      <c r="O210" s="484"/>
    </row>
    <row r="211" spans="1:15" ht="30.6">
      <c r="A211" s="441">
        <f t="shared" si="3"/>
        <v>149</v>
      </c>
      <c r="B211" s="466" t="s">
        <v>1898</v>
      </c>
      <c r="C211" s="466" t="s">
        <v>1899</v>
      </c>
      <c r="D211" s="473" t="s">
        <v>674</v>
      </c>
      <c r="E211" s="481">
        <v>1</v>
      </c>
      <c r="F211" s="471"/>
      <c r="G211" s="474">
        <f>E211*F211</f>
        <v>0</v>
      </c>
      <c r="H211" s="482"/>
      <c r="I211" s="483"/>
      <c r="L211" s="356"/>
      <c r="M211" s="356"/>
      <c r="N211" s="356"/>
      <c r="O211" s="484"/>
    </row>
    <row r="212" spans="1:15" ht="15">
      <c r="A212" s="441">
        <f t="shared" si="3"/>
        <v>150</v>
      </c>
      <c r="B212" s="466" t="s">
        <v>1900</v>
      </c>
      <c r="C212" s="466" t="s">
        <v>1901</v>
      </c>
      <c r="D212" s="473" t="s">
        <v>1902</v>
      </c>
      <c r="E212" s="481">
        <v>6</v>
      </c>
      <c r="F212" s="471"/>
      <c r="G212" s="474">
        <f>E212*F212</f>
        <v>0</v>
      </c>
      <c r="H212" s="482"/>
      <c r="I212" s="483"/>
      <c r="L212" s="356"/>
      <c r="M212" s="356"/>
      <c r="N212" s="356"/>
      <c r="O212" s="484"/>
    </row>
    <row r="213" spans="1:15" ht="15">
      <c r="A213" s="441">
        <f t="shared" si="3"/>
        <v>151</v>
      </c>
      <c r="B213" s="466" t="s">
        <v>1903</v>
      </c>
      <c r="C213" s="466" t="s">
        <v>1904</v>
      </c>
      <c r="D213" s="473" t="s">
        <v>674</v>
      </c>
      <c r="E213" s="481">
        <v>60</v>
      </c>
      <c r="F213" s="471"/>
      <c r="G213" s="474">
        <f>E213*F213</f>
        <v>0</v>
      </c>
      <c r="H213" s="482"/>
      <c r="I213" s="483"/>
      <c r="L213" s="356"/>
      <c r="M213" s="356"/>
      <c r="N213" s="356"/>
      <c r="O213" s="484"/>
    </row>
    <row r="214" spans="1:15" ht="15">
      <c r="A214" s="441">
        <f t="shared" si="3"/>
        <v>152</v>
      </c>
      <c r="B214" s="466" t="s">
        <v>1905</v>
      </c>
      <c r="C214" s="466" t="s">
        <v>1906</v>
      </c>
      <c r="D214" s="473" t="s">
        <v>1902</v>
      </c>
      <c r="E214" s="481">
        <v>6</v>
      </c>
      <c r="F214" s="471"/>
      <c r="G214" s="474">
        <f>E214*F214</f>
        <v>0</v>
      </c>
      <c r="H214" s="482"/>
      <c r="I214" s="483"/>
      <c r="L214" s="356"/>
      <c r="M214" s="356"/>
      <c r="N214" s="356"/>
      <c r="O214" s="484"/>
    </row>
    <row r="215" spans="1:15" ht="15">
      <c r="A215" s="441">
        <f t="shared" si="3"/>
        <v>153</v>
      </c>
      <c r="B215" s="501" t="s">
        <v>1704</v>
      </c>
      <c r="C215" s="501" t="s">
        <v>1705</v>
      </c>
      <c r="D215" s="473" t="s">
        <v>407</v>
      </c>
      <c r="E215" s="502">
        <v>30</v>
      </c>
      <c r="F215" s="471"/>
      <c r="G215" s="474">
        <f>E215*F215</f>
        <v>0</v>
      </c>
      <c r="H215" s="482"/>
      <c r="I215" s="483"/>
      <c r="L215" s="356"/>
      <c r="M215" s="356"/>
      <c r="N215" s="356"/>
      <c r="O215" s="484"/>
    </row>
    <row r="216" spans="1:15" ht="15">
      <c r="A216" s="446"/>
      <c r="B216" s="411" t="s">
        <v>1603</v>
      </c>
      <c r="C216" s="411" t="s">
        <v>1907</v>
      </c>
      <c r="D216" s="411"/>
      <c r="E216" s="447"/>
      <c r="F216" s="507"/>
      <c r="G216" s="448">
        <f>SUM(G123:G215)</f>
        <v>0</v>
      </c>
      <c r="H216" s="482"/>
      <c r="I216" s="483"/>
      <c r="L216" s="356"/>
      <c r="M216" s="356"/>
      <c r="N216" s="356"/>
      <c r="O216" s="484"/>
    </row>
    <row r="217" spans="1:15" ht="15">
      <c r="A217" s="898" t="s">
        <v>934</v>
      </c>
      <c r="B217" s="899"/>
      <c r="C217" s="899"/>
      <c r="D217" s="899"/>
      <c r="E217" s="899"/>
      <c r="F217" s="900"/>
      <c r="G217" s="508">
        <f>SUM(G45,G63,G77,G83,G115,G121,G216)</f>
        <v>0</v>
      </c>
      <c r="H217" s="482"/>
      <c r="I217" s="483"/>
      <c r="L217" s="356"/>
      <c r="M217" s="356"/>
      <c r="N217" s="356"/>
      <c r="O217" s="484"/>
    </row>
    <row r="218" spans="1:15" ht="15">
      <c r="A218" s="509"/>
      <c r="B218" s="510"/>
      <c r="C218" s="510"/>
      <c r="D218" s="510"/>
      <c r="E218" s="511"/>
      <c r="F218" s="511"/>
      <c r="G218" s="482"/>
      <c r="H218" s="482"/>
      <c r="I218" s="483"/>
      <c r="L218" s="356"/>
      <c r="M218" s="356"/>
      <c r="N218" s="356"/>
      <c r="O218" s="484"/>
    </row>
    <row r="219" spans="1:15" ht="15">
      <c r="A219" s="509"/>
      <c r="B219" s="510"/>
      <c r="C219" s="510"/>
      <c r="D219" s="510"/>
      <c r="E219" s="511"/>
      <c r="F219" s="511"/>
      <c r="G219" s="482"/>
      <c r="H219" s="482"/>
      <c r="I219" s="483"/>
      <c r="L219" s="356"/>
      <c r="M219" s="356"/>
      <c r="N219" s="356"/>
      <c r="O219" s="484"/>
    </row>
    <row r="220" spans="1:15" ht="15">
      <c r="A220" s="509"/>
      <c r="B220" s="510"/>
      <c r="C220" s="510"/>
      <c r="D220" s="510"/>
      <c r="E220" s="511"/>
      <c r="F220" s="511"/>
      <c r="G220" s="482"/>
      <c r="H220" s="482"/>
      <c r="I220" s="483"/>
      <c r="L220" s="356"/>
      <c r="M220" s="356"/>
      <c r="N220" s="356"/>
      <c r="O220" s="484"/>
    </row>
    <row r="221" spans="1:15" ht="15">
      <c r="A221" s="509"/>
      <c r="B221" s="510"/>
      <c r="C221" s="510"/>
      <c r="D221" s="510"/>
      <c r="E221" s="511"/>
      <c r="F221" s="511"/>
      <c r="G221" s="482"/>
      <c r="H221" s="482"/>
      <c r="I221" s="483"/>
      <c r="L221" s="356"/>
      <c r="M221" s="356"/>
      <c r="N221" s="356"/>
      <c r="O221" s="484"/>
    </row>
    <row r="222" spans="1:15" ht="15">
      <c r="A222" s="509"/>
      <c r="B222" s="510"/>
      <c r="C222" s="510"/>
      <c r="D222" s="510"/>
      <c r="E222" s="511"/>
      <c r="F222" s="511"/>
      <c r="G222" s="482"/>
      <c r="H222" s="482"/>
      <c r="I222" s="483"/>
      <c r="L222" s="356"/>
      <c r="M222" s="356"/>
      <c r="N222" s="356"/>
      <c r="O222" s="484"/>
    </row>
    <row r="223" spans="1:15" ht="15">
      <c r="A223" s="509"/>
      <c r="B223" s="510"/>
      <c r="C223" s="510"/>
      <c r="D223" s="510"/>
      <c r="E223" s="511"/>
      <c r="F223" s="511"/>
      <c r="G223" s="482"/>
      <c r="H223" s="482"/>
      <c r="I223" s="483"/>
      <c r="L223" s="356"/>
      <c r="M223" s="356"/>
      <c r="N223" s="356"/>
      <c r="O223" s="484"/>
    </row>
    <row r="224" spans="1:15" ht="15">
      <c r="A224" s="509"/>
      <c r="B224" s="510"/>
      <c r="C224" s="510"/>
      <c r="D224" s="510"/>
      <c r="E224" s="511"/>
      <c r="F224" s="511"/>
      <c r="G224" s="482"/>
      <c r="H224" s="482"/>
      <c r="I224" s="483"/>
      <c r="L224" s="356"/>
      <c r="M224" s="356"/>
      <c r="N224" s="356"/>
      <c r="O224" s="484"/>
    </row>
    <row r="225" spans="1:15" ht="15">
      <c r="A225" s="509"/>
      <c r="B225" s="510"/>
      <c r="C225" s="510"/>
      <c r="D225" s="510"/>
      <c r="E225" s="511"/>
      <c r="F225" s="511"/>
      <c r="G225" s="482"/>
      <c r="H225" s="482"/>
      <c r="I225" s="483"/>
      <c r="L225" s="356"/>
      <c r="M225" s="356"/>
      <c r="N225" s="356"/>
      <c r="O225" s="484"/>
    </row>
    <row r="226" spans="1:15" ht="15">
      <c r="A226" s="509"/>
      <c r="B226" s="510"/>
      <c r="C226" s="510"/>
      <c r="D226" s="510"/>
      <c r="E226" s="511"/>
      <c r="F226" s="511"/>
      <c r="G226" s="482"/>
      <c r="H226" s="482"/>
      <c r="I226" s="483"/>
      <c r="L226" s="356"/>
      <c r="M226" s="356"/>
      <c r="N226" s="356"/>
      <c r="O226" s="484"/>
    </row>
    <row r="227" spans="1:15" ht="15">
      <c r="A227" s="509"/>
      <c r="B227" s="510"/>
      <c r="C227" s="510"/>
      <c r="D227" s="510"/>
      <c r="E227" s="511"/>
      <c r="F227" s="511"/>
      <c r="G227" s="482"/>
      <c r="H227" s="482"/>
      <c r="I227" s="483"/>
      <c r="L227" s="356"/>
      <c r="M227" s="356"/>
      <c r="N227" s="356"/>
      <c r="O227" s="484"/>
    </row>
    <row r="228" spans="1:15" ht="15">
      <c r="A228" s="509"/>
      <c r="B228" s="510"/>
      <c r="C228" s="510"/>
      <c r="D228" s="510"/>
      <c r="E228" s="511"/>
      <c r="F228" s="511"/>
      <c r="G228" s="482"/>
      <c r="H228" s="482"/>
      <c r="I228" s="483"/>
      <c r="L228" s="356"/>
      <c r="M228" s="356"/>
      <c r="N228" s="356"/>
      <c r="O228" s="484"/>
    </row>
    <row r="229" spans="1:15" ht="15">
      <c r="A229" s="509"/>
      <c r="B229" s="510"/>
      <c r="C229" s="510"/>
      <c r="D229" s="510"/>
      <c r="E229" s="511"/>
      <c r="F229" s="511"/>
      <c r="G229" s="482"/>
      <c r="H229" s="482"/>
      <c r="I229" s="483"/>
      <c r="L229" s="356"/>
      <c r="M229" s="356"/>
      <c r="N229" s="356"/>
      <c r="O229" s="484"/>
    </row>
    <row r="230" spans="1:15" ht="15">
      <c r="A230" s="509"/>
      <c r="B230" s="510"/>
      <c r="C230" s="510"/>
      <c r="D230" s="510"/>
      <c r="E230" s="511"/>
      <c r="F230" s="511"/>
      <c r="G230" s="482"/>
      <c r="H230" s="482"/>
      <c r="I230" s="483"/>
      <c r="L230" s="356"/>
      <c r="M230" s="356"/>
      <c r="N230" s="356"/>
      <c r="O230" s="484"/>
    </row>
    <row r="231" spans="1:15" ht="15">
      <c r="A231" s="509"/>
      <c r="B231" s="510"/>
      <c r="C231" s="510"/>
      <c r="D231" s="510"/>
      <c r="E231" s="511"/>
      <c r="F231" s="511"/>
      <c r="G231" s="482"/>
      <c r="H231" s="482"/>
      <c r="I231" s="483"/>
      <c r="L231" s="356"/>
      <c r="M231" s="356"/>
      <c r="N231" s="356"/>
      <c r="O231" s="484"/>
    </row>
    <row r="232" spans="1:15" ht="15">
      <c r="A232" s="509"/>
      <c r="B232" s="510"/>
      <c r="C232" s="510"/>
      <c r="D232" s="510"/>
      <c r="E232" s="511"/>
      <c r="F232" s="511"/>
      <c r="G232" s="482"/>
      <c r="H232" s="482"/>
      <c r="I232" s="483"/>
      <c r="L232" s="356"/>
      <c r="M232" s="356"/>
      <c r="N232" s="356"/>
      <c r="O232" s="484"/>
    </row>
    <row r="233" spans="1:15" ht="15">
      <c r="A233" s="509"/>
      <c r="B233" s="510"/>
      <c r="C233" s="510"/>
      <c r="D233" s="510"/>
      <c r="E233" s="511"/>
      <c r="F233" s="511"/>
      <c r="G233" s="482"/>
      <c r="H233" s="482"/>
      <c r="I233" s="483"/>
      <c r="L233" s="356"/>
      <c r="M233" s="356"/>
      <c r="N233" s="356"/>
      <c r="O233" s="484"/>
    </row>
    <row r="234" spans="1:15" ht="15">
      <c r="A234" s="509"/>
      <c r="B234" s="510"/>
      <c r="C234" s="510"/>
      <c r="D234" s="510"/>
      <c r="E234" s="511"/>
      <c r="F234" s="511"/>
      <c r="G234" s="482"/>
      <c r="H234" s="482"/>
      <c r="I234" s="483"/>
      <c r="L234" s="356"/>
      <c r="M234" s="356"/>
      <c r="N234" s="356"/>
      <c r="O234" s="484"/>
    </row>
    <row r="235" spans="1:15" ht="15">
      <c r="A235" s="509"/>
      <c r="B235" s="510"/>
      <c r="C235" s="510"/>
      <c r="D235" s="510"/>
      <c r="E235" s="511"/>
      <c r="F235" s="511"/>
      <c r="G235" s="482"/>
      <c r="H235" s="482"/>
      <c r="I235" s="483"/>
      <c r="L235" s="356"/>
      <c r="M235" s="356"/>
      <c r="N235" s="356"/>
      <c r="O235" s="484"/>
    </row>
    <row r="236" spans="1:15" ht="15">
      <c r="A236" s="509"/>
      <c r="B236" s="510"/>
      <c r="C236" s="510"/>
      <c r="D236" s="510"/>
      <c r="E236" s="511"/>
      <c r="F236" s="511"/>
      <c r="G236" s="482"/>
      <c r="H236" s="482"/>
      <c r="I236" s="483"/>
      <c r="L236" s="356"/>
      <c r="M236" s="356"/>
      <c r="N236" s="356"/>
      <c r="O236" s="484"/>
    </row>
    <row r="237" spans="1:15" ht="15">
      <c r="A237" s="509"/>
      <c r="B237" s="510"/>
      <c r="C237" s="510"/>
      <c r="D237" s="510"/>
      <c r="E237" s="511"/>
      <c r="F237" s="511"/>
      <c r="G237" s="482"/>
      <c r="H237" s="482"/>
      <c r="I237" s="483"/>
      <c r="L237" s="356"/>
      <c r="M237" s="356"/>
      <c r="N237" s="356"/>
      <c r="O237" s="484"/>
    </row>
    <row r="238" spans="1:15" ht="15">
      <c r="A238" s="509"/>
      <c r="B238" s="510"/>
      <c r="C238" s="510"/>
      <c r="D238" s="510"/>
      <c r="E238" s="511"/>
      <c r="F238" s="511"/>
      <c r="G238" s="482"/>
      <c r="H238" s="482"/>
      <c r="I238" s="483"/>
      <c r="L238" s="356"/>
      <c r="M238" s="356"/>
      <c r="N238" s="356"/>
      <c r="O238" s="484"/>
    </row>
    <row r="239" spans="1:15" ht="15">
      <c r="A239" s="509"/>
      <c r="B239" s="510"/>
      <c r="C239" s="510"/>
      <c r="D239" s="510"/>
      <c r="E239" s="511"/>
      <c r="F239" s="511"/>
      <c r="G239" s="482"/>
      <c r="H239" s="482"/>
      <c r="I239" s="483"/>
      <c r="L239" s="356"/>
      <c r="M239" s="356"/>
      <c r="N239" s="356"/>
      <c r="O239" s="484"/>
    </row>
    <row r="240" spans="1:15" ht="15">
      <c r="A240" s="509"/>
      <c r="B240" s="510"/>
      <c r="C240" s="510"/>
      <c r="D240" s="510"/>
      <c r="E240" s="511"/>
      <c r="F240" s="511"/>
      <c r="G240" s="482"/>
      <c r="H240" s="482"/>
      <c r="I240" s="483"/>
      <c r="L240" s="356"/>
      <c r="M240" s="356"/>
      <c r="N240" s="356"/>
      <c r="O240" s="484"/>
    </row>
    <row r="241" spans="1:15" ht="15">
      <c r="A241" s="509"/>
      <c r="B241" s="510"/>
      <c r="C241" s="510"/>
      <c r="D241" s="510"/>
      <c r="E241" s="511"/>
      <c r="F241" s="511"/>
      <c r="G241" s="482"/>
      <c r="H241" s="482"/>
      <c r="I241" s="483"/>
      <c r="L241" s="356"/>
      <c r="M241" s="356"/>
      <c r="N241" s="356"/>
      <c r="O241" s="484"/>
    </row>
    <row r="242" spans="1:15" ht="15">
      <c r="A242" s="509"/>
      <c r="B242" s="510"/>
      <c r="C242" s="510"/>
      <c r="D242" s="510"/>
      <c r="E242" s="511"/>
      <c r="F242" s="511"/>
      <c r="G242" s="482"/>
      <c r="H242" s="482"/>
      <c r="I242" s="483"/>
      <c r="L242" s="356"/>
      <c r="M242" s="356"/>
      <c r="N242" s="356"/>
      <c r="O242" s="484"/>
    </row>
    <row r="243" spans="1:15" ht="15">
      <c r="A243" s="509"/>
      <c r="B243" s="510"/>
      <c r="C243" s="510"/>
      <c r="D243" s="510"/>
      <c r="E243" s="511"/>
      <c r="F243" s="511"/>
      <c r="G243" s="482"/>
      <c r="H243" s="482"/>
      <c r="I243" s="483"/>
      <c r="L243" s="356"/>
      <c r="M243" s="356"/>
      <c r="N243" s="356"/>
      <c r="O243" s="484"/>
    </row>
    <row r="244" spans="1:15" ht="15">
      <c r="A244" s="509"/>
      <c r="B244" s="510"/>
      <c r="C244" s="510"/>
      <c r="D244" s="510"/>
      <c r="E244" s="511"/>
      <c r="F244" s="511"/>
      <c r="G244" s="482"/>
      <c r="H244" s="482"/>
      <c r="I244" s="483"/>
      <c r="L244" s="356"/>
      <c r="M244" s="356"/>
      <c r="N244" s="356"/>
      <c r="O244" s="484"/>
    </row>
    <row r="245" spans="1:15" ht="15">
      <c r="A245" s="509"/>
      <c r="B245" s="510"/>
      <c r="C245" s="510"/>
      <c r="D245" s="510"/>
      <c r="E245" s="511"/>
      <c r="F245" s="511"/>
      <c r="G245" s="482"/>
      <c r="H245" s="482"/>
      <c r="I245" s="483"/>
      <c r="L245" s="356"/>
      <c r="M245" s="356"/>
      <c r="N245" s="356"/>
      <c r="O245" s="484"/>
    </row>
    <row r="246" spans="1:15" ht="15">
      <c r="A246" s="509"/>
      <c r="B246" s="510"/>
      <c r="C246" s="510"/>
      <c r="D246" s="510"/>
      <c r="E246" s="511"/>
      <c r="F246" s="511"/>
      <c r="G246" s="482"/>
      <c r="H246" s="482"/>
      <c r="I246" s="483"/>
      <c r="L246" s="356"/>
      <c r="M246" s="356"/>
      <c r="N246" s="356"/>
      <c r="O246" s="484"/>
    </row>
    <row r="247" spans="1:15" ht="15">
      <c r="A247" s="509"/>
      <c r="B247" s="510"/>
      <c r="C247" s="510"/>
      <c r="D247" s="510"/>
      <c r="E247" s="511"/>
      <c r="F247" s="511"/>
      <c r="G247" s="482"/>
      <c r="H247" s="482"/>
      <c r="I247" s="483"/>
      <c r="L247" s="356"/>
      <c r="M247" s="356"/>
      <c r="N247" s="356"/>
      <c r="O247" s="484"/>
    </row>
    <row r="248" spans="1:15" ht="15">
      <c r="A248" s="509"/>
      <c r="B248" s="510"/>
      <c r="C248" s="510"/>
      <c r="D248" s="510"/>
      <c r="E248" s="511"/>
      <c r="F248" s="511"/>
      <c r="G248" s="482"/>
      <c r="H248" s="482"/>
      <c r="I248" s="483"/>
      <c r="L248" s="356"/>
      <c r="M248" s="356"/>
      <c r="N248" s="356"/>
      <c r="O248" s="484"/>
    </row>
    <row r="249" spans="1:15" ht="15">
      <c r="A249" s="509"/>
      <c r="B249" s="510"/>
      <c r="C249" s="510"/>
      <c r="D249" s="510"/>
      <c r="E249" s="511"/>
      <c r="F249" s="511"/>
      <c r="G249" s="482"/>
      <c r="H249" s="482"/>
      <c r="I249" s="483"/>
      <c r="L249" s="356"/>
      <c r="M249" s="356"/>
      <c r="N249" s="356"/>
      <c r="O249" s="484"/>
    </row>
    <row r="250" spans="1:15" ht="15">
      <c r="A250" s="509"/>
      <c r="B250" s="510"/>
      <c r="C250" s="510"/>
      <c r="D250" s="510"/>
      <c r="E250" s="511"/>
      <c r="F250" s="511"/>
      <c r="G250" s="482"/>
      <c r="H250" s="482"/>
      <c r="I250" s="483"/>
      <c r="L250" s="356"/>
      <c r="M250" s="356"/>
      <c r="N250" s="356"/>
      <c r="O250" s="484"/>
    </row>
    <row r="251" spans="1:15" ht="15">
      <c r="A251" s="509"/>
      <c r="B251" s="510"/>
      <c r="C251" s="510"/>
      <c r="D251" s="510"/>
      <c r="E251" s="511"/>
      <c r="F251" s="511"/>
      <c r="G251" s="482"/>
      <c r="H251" s="482"/>
      <c r="I251" s="483"/>
      <c r="L251" s="356"/>
      <c r="M251" s="356"/>
      <c r="N251" s="356"/>
      <c r="O251" s="484"/>
    </row>
    <row r="252" spans="1:15" ht="15">
      <c r="A252" s="509"/>
      <c r="B252" s="510"/>
      <c r="C252" s="510"/>
      <c r="D252" s="510"/>
      <c r="E252" s="511"/>
      <c r="F252" s="511"/>
      <c r="G252" s="482"/>
      <c r="H252" s="482"/>
      <c r="I252" s="483"/>
      <c r="L252" s="356"/>
      <c r="M252" s="356"/>
      <c r="N252" s="356"/>
      <c r="O252" s="484"/>
    </row>
    <row r="253" spans="1:15" ht="15">
      <c r="A253" s="509"/>
      <c r="B253" s="510"/>
      <c r="C253" s="510"/>
      <c r="D253" s="510"/>
      <c r="E253" s="511"/>
      <c r="F253" s="511"/>
      <c r="G253" s="482"/>
      <c r="H253" s="482"/>
      <c r="I253" s="483"/>
      <c r="L253" s="356"/>
      <c r="M253" s="356"/>
      <c r="N253" s="356"/>
      <c r="O253" s="484"/>
    </row>
    <row r="254" spans="1:15" ht="15">
      <c r="A254" s="509"/>
      <c r="B254" s="510"/>
      <c r="C254" s="510"/>
      <c r="D254" s="510"/>
      <c r="E254" s="511"/>
      <c r="F254" s="511"/>
      <c r="G254" s="482"/>
      <c r="H254" s="482"/>
      <c r="I254" s="483"/>
      <c r="L254" s="356"/>
      <c r="M254" s="356"/>
      <c r="N254" s="356"/>
      <c r="O254" s="484"/>
    </row>
    <row r="255" spans="1:15" ht="15">
      <c r="A255" s="509"/>
      <c r="B255" s="510"/>
      <c r="C255" s="510"/>
      <c r="D255" s="510"/>
      <c r="E255" s="511"/>
      <c r="F255" s="511"/>
      <c r="G255" s="482"/>
      <c r="H255" s="482"/>
      <c r="I255" s="483"/>
      <c r="L255" s="356"/>
      <c r="M255" s="356"/>
      <c r="N255" s="356"/>
      <c r="O255" s="484"/>
    </row>
    <row r="256" spans="1:15" ht="15">
      <c r="A256" s="509"/>
      <c r="B256" s="510"/>
      <c r="C256" s="510"/>
      <c r="D256" s="510"/>
      <c r="E256" s="511"/>
      <c r="F256" s="511"/>
      <c r="G256" s="482"/>
      <c r="H256" s="482"/>
      <c r="I256" s="483"/>
      <c r="L256" s="356"/>
      <c r="M256" s="356"/>
      <c r="N256" s="356"/>
      <c r="O256" s="484"/>
    </row>
    <row r="257" spans="1:15" ht="15">
      <c r="A257" s="509"/>
      <c r="B257" s="510"/>
      <c r="C257" s="510"/>
      <c r="D257" s="510"/>
      <c r="E257" s="511"/>
      <c r="F257" s="511"/>
      <c r="G257" s="482"/>
      <c r="H257" s="482"/>
      <c r="I257" s="483"/>
      <c r="L257" s="356"/>
      <c r="M257" s="356"/>
      <c r="N257" s="356"/>
      <c r="O257" s="484"/>
    </row>
    <row r="258" spans="1:15" ht="15">
      <c r="A258" s="509"/>
      <c r="B258" s="510"/>
      <c r="C258" s="510"/>
      <c r="D258" s="510"/>
      <c r="E258" s="511"/>
      <c r="F258" s="511"/>
      <c r="G258" s="482"/>
      <c r="H258" s="482"/>
      <c r="I258" s="483"/>
      <c r="L258" s="356"/>
      <c r="M258" s="356"/>
      <c r="N258" s="356"/>
      <c r="O258" s="484"/>
    </row>
    <row r="259" spans="1:15" ht="15">
      <c r="A259" s="509"/>
      <c r="B259" s="510"/>
      <c r="C259" s="510"/>
      <c r="D259" s="510"/>
      <c r="E259" s="511"/>
      <c r="F259" s="511"/>
      <c r="G259" s="482"/>
      <c r="H259" s="482"/>
      <c r="I259" s="483"/>
      <c r="L259" s="356"/>
      <c r="M259" s="356"/>
      <c r="N259" s="356"/>
      <c r="O259" s="484"/>
    </row>
    <row r="260" spans="1:15" ht="15">
      <c r="A260" s="509"/>
      <c r="B260" s="510"/>
      <c r="C260" s="510"/>
      <c r="D260" s="510"/>
      <c r="E260" s="511"/>
      <c r="F260" s="511"/>
      <c r="G260" s="482"/>
      <c r="H260" s="482"/>
      <c r="I260" s="483"/>
      <c r="L260" s="356"/>
      <c r="M260" s="356"/>
      <c r="N260" s="356"/>
      <c r="O260" s="484"/>
    </row>
    <row r="261" spans="1:15" ht="15">
      <c r="A261" s="509"/>
      <c r="B261" s="510"/>
      <c r="C261" s="510"/>
      <c r="D261" s="510"/>
      <c r="E261" s="511"/>
      <c r="F261" s="511"/>
      <c r="G261" s="482"/>
      <c r="H261" s="482"/>
      <c r="I261" s="483"/>
      <c r="L261" s="356"/>
      <c r="M261" s="356"/>
      <c r="N261" s="356"/>
      <c r="O261" s="484"/>
    </row>
    <row r="262" spans="1:15" ht="15">
      <c r="A262" s="509"/>
      <c r="B262" s="510"/>
      <c r="C262" s="510"/>
      <c r="D262" s="510"/>
      <c r="E262" s="511"/>
      <c r="F262" s="511"/>
      <c r="G262" s="482"/>
      <c r="H262" s="482"/>
      <c r="I262" s="483"/>
      <c r="L262" s="356"/>
      <c r="M262" s="356"/>
      <c r="N262" s="356"/>
      <c r="O262" s="484"/>
    </row>
    <row r="263" spans="1:15" ht="15">
      <c r="A263" s="509"/>
      <c r="B263" s="510"/>
      <c r="C263" s="510"/>
      <c r="D263" s="510"/>
      <c r="E263" s="511"/>
      <c r="F263" s="511"/>
      <c r="G263" s="482"/>
      <c r="H263" s="482"/>
      <c r="I263" s="483"/>
      <c r="L263" s="356"/>
      <c r="M263" s="356"/>
      <c r="N263" s="356"/>
      <c r="O263" s="484"/>
    </row>
    <row r="264" spans="1:15" ht="15">
      <c r="A264" s="509"/>
      <c r="B264" s="510"/>
      <c r="C264" s="510"/>
      <c r="D264" s="510"/>
      <c r="E264" s="511"/>
      <c r="F264" s="511"/>
      <c r="G264" s="482"/>
      <c r="H264" s="482"/>
      <c r="I264" s="483"/>
      <c r="L264" s="356"/>
      <c r="M264" s="356"/>
      <c r="N264" s="356"/>
      <c r="O264" s="484"/>
    </row>
    <row r="265" spans="1:15" ht="15">
      <c r="A265" s="509"/>
      <c r="B265" s="510"/>
      <c r="C265" s="510"/>
      <c r="D265" s="510"/>
      <c r="E265" s="511"/>
      <c r="F265" s="511"/>
      <c r="G265" s="482"/>
      <c r="H265" s="482"/>
      <c r="I265" s="483"/>
      <c r="L265" s="356"/>
      <c r="M265" s="356"/>
      <c r="N265" s="356"/>
      <c r="O265" s="484"/>
    </row>
    <row r="266" spans="1:15" ht="15">
      <c r="A266" s="509"/>
      <c r="B266" s="510"/>
      <c r="C266" s="510"/>
      <c r="D266" s="510"/>
      <c r="E266" s="511"/>
      <c r="F266" s="511"/>
      <c r="G266" s="482"/>
      <c r="H266" s="482"/>
      <c r="I266" s="483"/>
      <c r="L266" s="356"/>
      <c r="M266" s="356"/>
      <c r="N266" s="356"/>
      <c r="O266" s="484"/>
    </row>
    <row r="267" spans="1:15" ht="15">
      <c r="A267" s="509"/>
      <c r="B267" s="510"/>
      <c r="C267" s="510"/>
      <c r="D267" s="510"/>
      <c r="E267" s="511"/>
      <c r="F267" s="511"/>
      <c r="G267" s="482"/>
      <c r="H267" s="482"/>
      <c r="I267" s="483"/>
      <c r="L267" s="356"/>
      <c r="M267" s="356"/>
      <c r="N267" s="356"/>
      <c r="O267" s="484"/>
    </row>
    <row r="268" spans="1:15" ht="15">
      <c r="A268" s="509"/>
      <c r="B268" s="510"/>
      <c r="C268" s="510"/>
      <c r="D268" s="510"/>
      <c r="E268" s="511"/>
      <c r="F268" s="511"/>
      <c r="G268" s="482"/>
      <c r="H268" s="482"/>
      <c r="I268" s="483"/>
      <c r="L268" s="356"/>
      <c r="M268" s="356"/>
      <c r="N268" s="356"/>
      <c r="O268" s="484"/>
    </row>
    <row r="269" spans="1:15" ht="15">
      <c r="A269" s="509"/>
      <c r="B269" s="510"/>
      <c r="C269" s="510"/>
      <c r="D269" s="510"/>
      <c r="E269" s="511"/>
      <c r="F269" s="511"/>
      <c r="G269" s="482"/>
      <c r="H269" s="482"/>
      <c r="I269" s="483"/>
      <c r="L269" s="356"/>
      <c r="M269" s="356"/>
      <c r="N269" s="356"/>
      <c r="O269" s="484"/>
    </row>
    <row r="270" spans="1:15" ht="15">
      <c r="A270" s="509"/>
      <c r="B270" s="510"/>
      <c r="C270" s="510"/>
      <c r="D270" s="510"/>
      <c r="E270" s="511"/>
      <c r="F270" s="511"/>
      <c r="G270" s="482"/>
      <c r="H270" s="482"/>
      <c r="I270" s="483"/>
      <c r="L270" s="356"/>
      <c r="M270" s="356"/>
      <c r="N270" s="356"/>
      <c r="O270" s="484"/>
    </row>
    <row r="271" spans="1:15" ht="15">
      <c r="A271" s="509"/>
      <c r="B271" s="510"/>
      <c r="C271" s="510"/>
      <c r="D271" s="510"/>
      <c r="E271" s="511"/>
      <c r="F271" s="511"/>
      <c r="G271" s="482"/>
      <c r="H271" s="482"/>
      <c r="I271" s="483"/>
      <c r="L271" s="356"/>
      <c r="M271" s="356"/>
      <c r="N271" s="356"/>
      <c r="O271" s="484"/>
    </row>
    <row r="272" spans="1:15" ht="15">
      <c r="A272" s="509"/>
      <c r="B272" s="510"/>
      <c r="C272" s="510"/>
      <c r="D272" s="510"/>
      <c r="E272" s="511"/>
      <c r="F272" s="511"/>
      <c r="G272" s="482"/>
      <c r="H272" s="482"/>
      <c r="I272" s="483"/>
      <c r="L272" s="356"/>
      <c r="M272" s="356"/>
      <c r="N272" s="356"/>
      <c r="O272" s="484"/>
    </row>
    <row r="273" spans="1:15" ht="15">
      <c r="A273" s="509"/>
      <c r="B273" s="510"/>
      <c r="C273" s="510"/>
      <c r="D273" s="510"/>
      <c r="E273" s="511"/>
      <c r="F273" s="511"/>
      <c r="G273" s="482"/>
      <c r="H273" s="482"/>
      <c r="I273" s="483"/>
      <c r="L273" s="356"/>
      <c r="M273" s="356"/>
      <c r="N273" s="356"/>
      <c r="O273" s="484"/>
    </row>
    <row r="274" spans="1:15" ht="15">
      <c r="A274" s="509"/>
      <c r="B274" s="510"/>
      <c r="C274" s="510"/>
      <c r="D274" s="510"/>
      <c r="E274" s="511"/>
      <c r="F274" s="511"/>
      <c r="G274" s="482"/>
      <c r="H274" s="482"/>
      <c r="I274" s="483"/>
      <c r="L274" s="356"/>
      <c r="M274" s="356"/>
      <c r="N274" s="356"/>
      <c r="O274" s="484"/>
    </row>
    <row r="275" spans="1:15" ht="15">
      <c r="A275" s="509"/>
      <c r="B275" s="510"/>
      <c r="C275" s="510"/>
      <c r="D275" s="510"/>
      <c r="E275" s="511"/>
      <c r="F275" s="511"/>
      <c r="G275" s="482"/>
      <c r="H275" s="482"/>
      <c r="I275" s="483"/>
      <c r="L275" s="356"/>
      <c r="M275" s="356"/>
      <c r="N275" s="356"/>
      <c r="O275" s="484"/>
    </row>
    <row r="276" spans="1:15" ht="15">
      <c r="A276" s="509"/>
      <c r="B276" s="510"/>
      <c r="C276" s="510"/>
      <c r="D276" s="510"/>
      <c r="E276" s="511"/>
      <c r="F276" s="511"/>
      <c r="G276" s="482"/>
      <c r="H276" s="482"/>
      <c r="I276" s="483"/>
      <c r="L276" s="356"/>
      <c r="M276" s="356"/>
      <c r="N276" s="356"/>
      <c r="O276" s="484"/>
    </row>
    <row r="277" spans="1:15" ht="15">
      <c r="A277" s="509"/>
      <c r="B277" s="510"/>
      <c r="C277" s="510"/>
      <c r="D277" s="510"/>
      <c r="E277" s="511"/>
      <c r="F277" s="511"/>
      <c r="G277" s="482"/>
      <c r="H277" s="482"/>
      <c r="I277" s="483"/>
      <c r="L277" s="356"/>
      <c r="M277" s="356"/>
      <c r="N277" s="356"/>
      <c r="O277" s="484"/>
    </row>
    <row r="278" spans="1:15" ht="15">
      <c r="A278" s="509"/>
      <c r="B278" s="510"/>
      <c r="C278" s="510"/>
      <c r="D278" s="510"/>
      <c r="E278" s="511"/>
      <c r="F278" s="511"/>
      <c r="G278" s="482"/>
      <c r="H278" s="482"/>
      <c r="I278" s="483"/>
      <c r="L278" s="356"/>
      <c r="M278" s="356"/>
      <c r="N278" s="356"/>
      <c r="O278" s="484"/>
    </row>
    <row r="279" spans="1:15" ht="15">
      <c r="A279" s="509"/>
      <c r="B279" s="510"/>
      <c r="C279" s="510"/>
      <c r="D279" s="510"/>
      <c r="E279" s="511"/>
      <c r="F279" s="511"/>
      <c r="G279" s="482"/>
      <c r="H279" s="482"/>
      <c r="I279" s="483"/>
      <c r="L279" s="356"/>
      <c r="M279" s="356"/>
      <c r="N279" s="356"/>
      <c r="O279" s="484"/>
    </row>
    <row r="280" spans="1:15" ht="15">
      <c r="A280" s="509"/>
      <c r="B280" s="510"/>
      <c r="C280" s="510"/>
      <c r="D280" s="510"/>
      <c r="E280" s="511"/>
      <c r="F280" s="511"/>
      <c r="G280" s="482"/>
      <c r="H280" s="482"/>
      <c r="I280" s="483"/>
      <c r="L280" s="356"/>
      <c r="M280" s="356"/>
      <c r="N280" s="356"/>
      <c r="O280" s="484"/>
    </row>
    <row r="281" spans="1:15" ht="15">
      <c r="A281" s="509"/>
      <c r="B281" s="510"/>
      <c r="C281" s="510"/>
      <c r="D281" s="510"/>
      <c r="E281" s="511"/>
      <c r="F281" s="511"/>
      <c r="G281" s="482"/>
      <c r="H281" s="482"/>
      <c r="I281" s="483"/>
      <c r="L281" s="356"/>
      <c r="M281" s="356"/>
      <c r="N281" s="356"/>
      <c r="O281" s="484"/>
    </row>
    <row r="282" spans="1:15" ht="15">
      <c r="A282" s="509"/>
      <c r="B282" s="510"/>
      <c r="C282" s="510"/>
      <c r="D282" s="510"/>
      <c r="E282" s="511"/>
      <c r="F282" s="511"/>
      <c r="G282" s="482"/>
      <c r="H282" s="482"/>
      <c r="I282" s="483"/>
      <c r="L282" s="356"/>
      <c r="M282" s="356"/>
      <c r="N282" s="356"/>
      <c r="O282" s="484"/>
    </row>
    <row r="283" spans="1:15" ht="15">
      <c r="A283" s="509"/>
      <c r="B283" s="510"/>
      <c r="C283" s="510"/>
      <c r="D283" s="510"/>
      <c r="E283" s="511"/>
      <c r="F283" s="511"/>
      <c r="G283" s="482"/>
      <c r="H283" s="482"/>
      <c r="I283" s="483"/>
      <c r="L283" s="356"/>
      <c r="M283" s="356"/>
      <c r="N283" s="356"/>
      <c r="O283" s="484"/>
    </row>
    <row r="284" spans="1:15" ht="15">
      <c r="A284" s="509"/>
      <c r="B284" s="510"/>
      <c r="C284" s="510"/>
      <c r="D284" s="510"/>
      <c r="E284" s="511"/>
      <c r="F284" s="511"/>
      <c r="G284" s="482"/>
      <c r="H284" s="482"/>
      <c r="I284" s="483"/>
      <c r="L284" s="356"/>
      <c r="M284" s="356"/>
      <c r="N284" s="356"/>
      <c r="O284" s="484"/>
    </row>
    <row r="285" spans="1:15" ht="15">
      <c r="A285" s="509"/>
      <c r="B285" s="510"/>
      <c r="C285" s="510"/>
      <c r="D285" s="510"/>
      <c r="E285" s="511"/>
      <c r="F285" s="511"/>
      <c r="G285" s="482"/>
      <c r="H285" s="482"/>
      <c r="I285" s="483"/>
      <c r="L285" s="356"/>
      <c r="M285" s="356"/>
      <c r="N285" s="356"/>
      <c r="O285" s="484"/>
    </row>
    <row r="286" spans="1:15" ht="15">
      <c r="A286" s="509"/>
      <c r="B286" s="510"/>
      <c r="C286" s="510"/>
      <c r="D286" s="510"/>
      <c r="E286" s="511"/>
      <c r="F286" s="511"/>
      <c r="G286" s="482"/>
      <c r="H286" s="482"/>
      <c r="I286" s="483"/>
      <c r="L286" s="356"/>
      <c r="M286" s="356"/>
      <c r="N286" s="356"/>
      <c r="O286" s="484"/>
    </row>
    <row r="287" spans="1:15" ht="15">
      <c r="A287" s="509"/>
      <c r="B287" s="510"/>
      <c r="C287" s="510"/>
      <c r="D287" s="510"/>
      <c r="E287" s="511"/>
      <c r="F287" s="511"/>
      <c r="G287" s="482"/>
      <c r="H287" s="482"/>
      <c r="I287" s="483"/>
      <c r="L287" s="356"/>
      <c r="M287" s="356"/>
      <c r="N287" s="356"/>
      <c r="O287" s="484"/>
    </row>
    <row r="288" spans="1:15" ht="15">
      <c r="A288" s="509"/>
      <c r="B288" s="510"/>
      <c r="C288" s="510"/>
      <c r="D288" s="510"/>
      <c r="E288" s="511"/>
      <c r="F288" s="511"/>
      <c r="G288" s="482"/>
      <c r="H288" s="482"/>
      <c r="I288" s="483"/>
      <c r="L288" s="356"/>
      <c r="M288" s="356"/>
      <c r="N288" s="356"/>
      <c r="O288" s="484"/>
    </row>
    <row r="289" spans="1:15" ht="15">
      <c r="A289" s="509"/>
      <c r="B289" s="510"/>
      <c r="C289" s="510"/>
      <c r="D289" s="510"/>
      <c r="E289" s="511"/>
      <c r="F289" s="511"/>
      <c r="G289" s="482"/>
      <c r="H289" s="482"/>
      <c r="I289" s="483"/>
      <c r="L289" s="356"/>
      <c r="M289" s="356"/>
      <c r="N289" s="356"/>
      <c r="O289" s="484"/>
    </row>
    <row r="290" spans="1:15" ht="15">
      <c r="A290" s="509"/>
      <c r="B290" s="510"/>
      <c r="C290" s="510"/>
      <c r="D290" s="510"/>
      <c r="E290" s="511"/>
      <c r="F290" s="511"/>
      <c r="G290" s="482"/>
      <c r="H290" s="482"/>
      <c r="I290" s="483"/>
      <c r="L290" s="356"/>
      <c r="M290" s="356"/>
      <c r="N290" s="356"/>
      <c r="O290" s="484"/>
    </row>
    <row r="291" spans="1:15" ht="15">
      <c r="A291" s="509"/>
      <c r="B291" s="510"/>
      <c r="C291" s="510"/>
      <c r="D291" s="510"/>
      <c r="E291" s="511"/>
      <c r="F291" s="511"/>
      <c r="G291" s="482"/>
      <c r="H291" s="482"/>
      <c r="I291" s="483"/>
      <c r="L291" s="356"/>
      <c r="M291" s="356"/>
      <c r="N291" s="356"/>
      <c r="O291" s="484"/>
    </row>
    <row r="292" spans="1:15" ht="15">
      <c r="A292" s="509"/>
      <c r="B292" s="510"/>
      <c r="C292" s="510"/>
      <c r="D292" s="510"/>
      <c r="E292" s="511"/>
      <c r="F292" s="511"/>
      <c r="G292" s="482"/>
      <c r="H292" s="482"/>
      <c r="I292" s="483"/>
      <c r="L292" s="356"/>
      <c r="M292" s="356"/>
      <c r="N292" s="356"/>
      <c r="O292" s="484"/>
    </row>
    <row r="293" spans="1:15" ht="15">
      <c r="A293" s="509"/>
      <c r="B293" s="510"/>
      <c r="C293" s="510"/>
      <c r="D293" s="510"/>
      <c r="E293" s="511"/>
      <c r="F293" s="511"/>
      <c r="G293" s="482"/>
      <c r="H293" s="482"/>
      <c r="I293" s="483"/>
      <c r="L293" s="356"/>
      <c r="M293" s="356"/>
      <c r="N293" s="356"/>
      <c r="O293" s="484"/>
    </row>
    <row r="294" spans="1:15" ht="15">
      <c r="A294" s="509"/>
      <c r="B294" s="510"/>
      <c r="C294" s="510"/>
      <c r="D294" s="510"/>
      <c r="E294" s="511"/>
      <c r="F294" s="511"/>
      <c r="G294" s="482"/>
      <c r="H294" s="482"/>
      <c r="I294" s="483"/>
      <c r="L294" s="356"/>
      <c r="M294" s="356"/>
      <c r="N294" s="356"/>
      <c r="O294" s="484"/>
    </row>
    <row r="295" spans="1:15" ht="15">
      <c r="A295" s="509"/>
      <c r="B295" s="510"/>
      <c r="C295" s="510"/>
      <c r="D295" s="510"/>
      <c r="E295" s="511"/>
      <c r="F295" s="511"/>
      <c r="G295" s="482"/>
      <c r="H295" s="482"/>
      <c r="I295" s="483"/>
      <c r="L295" s="356"/>
      <c r="M295" s="356"/>
      <c r="N295" s="356"/>
      <c r="O295" s="484"/>
    </row>
    <row r="296" spans="1:15" ht="15">
      <c r="A296" s="509"/>
      <c r="B296" s="510"/>
      <c r="C296" s="510"/>
      <c r="D296" s="510"/>
      <c r="E296" s="511"/>
      <c r="F296" s="511"/>
      <c r="G296" s="482"/>
      <c r="H296" s="482"/>
      <c r="I296" s="483"/>
      <c r="L296" s="356"/>
      <c r="M296" s="356"/>
      <c r="N296" s="356"/>
      <c r="O296" s="484"/>
    </row>
    <row r="297" spans="1:15" ht="15">
      <c r="A297" s="509"/>
      <c r="B297" s="510"/>
      <c r="C297" s="510"/>
      <c r="D297" s="510"/>
      <c r="E297" s="511"/>
      <c r="F297" s="511"/>
      <c r="G297" s="482"/>
      <c r="H297" s="482"/>
      <c r="I297" s="483"/>
      <c r="L297" s="356"/>
      <c r="M297" s="356"/>
      <c r="N297" s="356"/>
      <c r="O297" s="484"/>
    </row>
    <row r="298" spans="5:7" ht="15">
      <c r="E298" s="357"/>
      <c r="F298" s="356"/>
      <c r="G298" s="356"/>
    </row>
    <row r="299" spans="5:7" ht="15">
      <c r="E299" s="357"/>
      <c r="F299" s="356"/>
      <c r="G299" s="356"/>
    </row>
    <row r="300" spans="5:7" ht="15">
      <c r="E300" s="357"/>
      <c r="F300" s="356"/>
      <c r="G300" s="356"/>
    </row>
    <row r="301" spans="5:7" ht="15">
      <c r="E301" s="357"/>
      <c r="F301" s="356"/>
      <c r="G301" s="356"/>
    </row>
    <row r="302" spans="1:7" ht="15">
      <c r="A302" s="356"/>
      <c r="B302" s="356"/>
      <c r="C302" s="356"/>
      <c r="D302" s="356"/>
      <c r="E302" s="357"/>
      <c r="F302" s="356"/>
      <c r="G302" s="356"/>
    </row>
    <row r="303" spans="1:7" ht="15">
      <c r="A303" s="356"/>
      <c r="B303" s="356"/>
      <c r="C303" s="356"/>
      <c r="D303" s="356"/>
      <c r="E303" s="357"/>
      <c r="F303" s="356"/>
      <c r="G303" s="356"/>
    </row>
    <row r="304" spans="1:7" ht="15">
      <c r="A304" s="356"/>
      <c r="B304" s="356"/>
      <c r="C304" s="356"/>
      <c r="D304" s="356"/>
      <c r="E304" s="357"/>
      <c r="F304" s="356"/>
      <c r="G304" s="356"/>
    </row>
    <row r="305" spans="1:7" ht="15">
      <c r="A305" s="356"/>
      <c r="B305" s="356"/>
      <c r="C305" s="356"/>
      <c r="D305" s="356"/>
      <c r="E305" s="357"/>
      <c r="F305" s="356"/>
      <c r="G305" s="356"/>
    </row>
    <row r="306" spans="1:7" ht="15">
      <c r="A306" s="356"/>
      <c r="B306" s="356"/>
      <c r="C306" s="356"/>
      <c r="D306" s="356"/>
      <c r="E306" s="357"/>
      <c r="F306" s="356"/>
      <c r="G306" s="356"/>
    </row>
    <row r="307" spans="1:7" ht="15">
      <c r="A307" s="356"/>
      <c r="B307" s="356"/>
      <c r="C307" s="356"/>
      <c r="D307" s="356"/>
      <c r="E307" s="357"/>
      <c r="F307" s="356"/>
      <c r="G307" s="356"/>
    </row>
    <row r="308" spans="1:7" ht="15">
      <c r="A308" s="356"/>
      <c r="B308" s="356"/>
      <c r="C308" s="356"/>
      <c r="D308" s="356"/>
      <c r="E308" s="357"/>
      <c r="F308" s="356"/>
      <c r="G308" s="356"/>
    </row>
    <row r="309" spans="1:7" ht="15">
      <c r="A309" s="356"/>
      <c r="B309" s="356"/>
      <c r="C309" s="356"/>
      <c r="D309" s="356"/>
      <c r="E309" s="357"/>
      <c r="F309" s="356"/>
      <c r="G309" s="356"/>
    </row>
    <row r="310" spans="1:7" ht="15">
      <c r="A310" s="356"/>
      <c r="B310" s="356"/>
      <c r="C310" s="356"/>
      <c r="D310" s="356"/>
      <c r="E310" s="357"/>
      <c r="F310" s="356"/>
      <c r="G310" s="356"/>
    </row>
    <row r="311" spans="1:7" ht="15">
      <c r="A311" s="356"/>
      <c r="B311" s="356"/>
      <c r="C311" s="356"/>
      <c r="D311" s="356"/>
      <c r="E311" s="357"/>
      <c r="F311" s="356"/>
      <c r="G311" s="356"/>
    </row>
    <row r="312" spans="1:7" ht="15">
      <c r="A312" s="356"/>
      <c r="B312" s="356"/>
      <c r="C312" s="356"/>
      <c r="D312" s="356"/>
      <c r="E312" s="357"/>
      <c r="F312" s="356"/>
      <c r="G312" s="356"/>
    </row>
    <row r="313" spans="1:7" ht="15">
      <c r="A313" s="356"/>
      <c r="B313" s="356"/>
      <c r="C313" s="356"/>
      <c r="D313" s="356"/>
      <c r="E313" s="357"/>
      <c r="F313" s="356"/>
      <c r="G313" s="356"/>
    </row>
    <row r="314" spans="1:7" ht="15">
      <c r="A314" s="512"/>
      <c r="B314" s="512"/>
      <c r="C314" s="356"/>
      <c r="D314" s="356"/>
      <c r="E314" s="356"/>
      <c r="F314" s="356"/>
      <c r="G314" s="356"/>
    </row>
    <row r="315" spans="3:7" ht="15">
      <c r="C315" s="513"/>
      <c r="D315" s="513"/>
      <c r="E315" s="514"/>
      <c r="F315" s="513"/>
      <c r="G315" s="515"/>
    </row>
    <row r="316" spans="1:2" ht="15">
      <c r="A316" s="512"/>
      <c r="B316" s="512"/>
    </row>
    <row r="317" spans="8:12" ht="15">
      <c r="H317" s="356"/>
      <c r="I317" s="356"/>
      <c r="J317" s="356"/>
      <c r="K317" s="356"/>
      <c r="L317" s="356"/>
    </row>
  </sheetData>
  <sheetProtection algorithmName="SHA-512" hashValue="sgUrZi4AFxMCRKjTAKhh9+sv5uxwJna/aZJgcBtfjrqtnZzotx20weChQfMGr8hGpbY2A9V3TmRqF/05r0KLAQ==" saltValue="RXziTRVz7Pi6B0ZrpgeE7A==" spinCount="100000" sheet="1"/>
  <mergeCells count="67">
    <mergeCell ref="A217:F217"/>
    <mergeCell ref="A70:A74"/>
    <mergeCell ref="B70:B74"/>
    <mergeCell ref="F70:F74"/>
    <mergeCell ref="G70:G74"/>
    <mergeCell ref="C71:D71"/>
    <mergeCell ref="C73:D73"/>
    <mergeCell ref="C74:D74"/>
    <mergeCell ref="A65:A69"/>
    <mergeCell ref="B65:B69"/>
    <mergeCell ref="C66:D66"/>
    <mergeCell ref="C67:D67"/>
    <mergeCell ref="C68:D68"/>
    <mergeCell ref="C69:D69"/>
    <mergeCell ref="F55:F57"/>
    <mergeCell ref="G55:G57"/>
    <mergeCell ref="A59:A61"/>
    <mergeCell ref="B59:B61"/>
    <mergeCell ref="F59:F61"/>
    <mergeCell ref="G59:G61"/>
    <mergeCell ref="C48:D48"/>
    <mergeCell ref="C50:D50"/>
    <mergeCell ref="C53:D53"/>
    <mergeCell ref="C54:D54"/>
    <mergeCell ref="A55:A57"/>
    <mergeCell ref="B55:B57"/>
    <mergeCell ref="A34:A40"/>
    <mergeCell ref="C35:D35"/>
    <mergeCell ref="C36:D36"/>
    <mergeCell ref="C37:D37"/>
    <mergeCell ref="C38:D38"/>
    <mergeCell ref="C39:D39"/>
    <mergeCell ref="C40:D40"/>
    <mergeCell ref="A28:A33"/>
    <mergeCell ref="C29:D29"/>
    <mergeCell ref="C30:D30"/>
    <mergeCell ref="C31:D31"/>
    <mergeCell ref="C32:D32"/>
    <mergeCell ref="C33:D33"/>
    <mergeCell ref="A23:A27"/>
    <mergeCell ref="F23:F27"/>
    <mergeCell ref="G23:G27"/>
    <mergeCell ref="C24:D24"/>
    <mergeCell ref="C25:D25"/>
    <mergeCell ref="C26:D26"/>
    <mergeCell ref="C27:D27"/>
    <mergeCell ref="A18:A22"/>
    <mergeCell ref="F18:F22"/>
    <mergeCell ref="G18:G22"/>
    <mergeCell ref="C19:D19"/>
    <mergeCell ref="C20:D20"/>
    <mergeCell ref="C21:D21"/>
    <mergeCell ref="C22:D22"/>
    <mergeCell ref="A12:A16"/>
    <mergeCell ref="G12:G16"/>
    <mergeCell ref="C13:D13"/>
    <mergeCell ref="C14:D14"/>
    <mergeCell ref="C15:D15"/>
    <mergeCell ref="C16:D16"/>
    <mergeCell ref="A1:G1"/>
    <mergeCell ref="A3:B3"/>
    <mergeCell ref="A4:B4"/>
    <mergeCell ref="E4:G4"/>
    <mergeCell ref="A8:A10"/>
    <mergeCell ref="G8:G10"/>
    <mergeCell ref="C9:D9"/>
    <mergeCell ref="C10:D10"/>
  </mergeCells>
  <printOptions/>
  <pageMargins left="0.5905511811023623" right="0.3937007874015748" top="0.1968503937007874" bottom="0.65" header="0" footer="0.1968503937007874"/>
  <pageSetup horizontalDpi="300" verticalDpi="300" orientation="portrait" paperSize="9" scale="96" r:id="rId1"/>
  <headerFooter alignWithMargins="0"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2F80-C105-4E24-8908-42CEAF2F4C85}">
  <sheetPr>
    <pageSetUpPr fitToPage="1"/>
  </sheetPr>
  <dimension ref="A1:J37"/>
  <sheetViews>
    <sheetView workbookViewId="0" topLeftCell="A1">
      <selection activeCell="L17" sqref="L17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05" customHeight="1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ht="15">
      <c r="A2" s="764" t="s">
        <v>13</v>
      </c>
      <c r="B2" s="765"/>
      <c r="C2" s="768" t="s">
        <v>14</v>
      </c>
      <c r="D2" s="769"/>
      <c r="E2" s="771" t="s">
        <v>15</v>
      </c>
      <c r="F2" s="771" t="s">
        <v>1371</v>
      </c>
      <c r="G2" s="765"/>
      <c r="H2" s="771" t="s">
        <v>25</v>
      </c>
      <c r="I2" s="772"/>
      <c r="J2" s="102"/>
    </row>
    <row r="3" spans="1:10" ht="12.75" customHeight="1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ht="15">
      <c r="A4" s="776" t="s">
        <v>26</v>
      </c>
      <c r="B4" s="767"/>
      <c r="C4" s="777" t="s">
        <v>1908</v>
      </c>
      <c r="D4" s="767"/>
      <c r="E4" s="777" t="s">
        <v>27</v>
      </c>
      <c r="F4" s="777" t="s">
        <v>1909</v>
      </c>
      <c r="G4" s="767"/>
      <c r="H4" s="777" t="s">
        <v>25</v>
      </c>
      <c r="I4" s="778"/>
      <c r="J4" s="102"/>
    </row>
    <row r="5" spans="1:10" ht="12.75" customHeight="1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ht="15">
      <c r="A6" s="776" t="s">
        <v>16</v>
      </c>
      <c r="B6" s="767"/>
      <c r="C6" s="777" t="s">
        <v>17</v>
      </c>
      <c r="D6" s="767"/>
      <c r="E6" s="777" t="s">
        <v>29</v>
      </c>
      <c r="F6" s="779"/>
      <c r="G6" s="780"/>
      <c r="H6" s="777" t="s">
        <v>25</v>
      </c>
      <c r="I6" s="774"/>
      <c r="J6" s="102"/>
    </row>
    <row r="7" spans="1:10" ht="12.75" customHeight="1">
      <c r="A7" s="766"/>
      <c r="B7" s="767"/>
      <c r="C7" s="767"/>
      <c r="D7" s="767"/>
      <c r="E7" s="767"/>
      <c r="F7" s="780"/>
      <c r="G7" s="780"/>
      <c r="H7" s="767"/>
      <c r="I7" s="775"/>
      <c r="J7" s="102"/>
    </row>
    <row r="8" spans="1:10" ht="15">
      <c r="A8" s="776" t="s">
        <v>30</v>
      </c>
      <c r="B8" s="767"/>
      <c r="C8" s="779"/>
      <c r="D8" s="780"/>
      <c r="E8" s="777" t="s">
        <v>31</v>
      </c>
      <c r="F8" s="779"/>
      <c r="G8" s="780"/>
      <c r="H8" s="783" t="s">
        <v>32</v>
      </c>
      <c r="I8" s="778" t="s">
        <v>180</v>
      </c>
      <c r="J8" s="102"/>
    </row>
    <row r="9" spans="1:10" ht="15">
      <c r="A9" s="766"/>
      <c r="B9" s="767"/>
      <c r="C9" s="780"/>
      <c r="D9" s="780"/>
      <c r="E9" s="767"/>
      <c r="F9" s="780"/>
      <c r="G9" s="780"/>
      <c r="H9" s="767"/>
      <c r="I9" s="773"/>
      <c r="J9" s="102"/>
    </row>
    <row r="10" spans="1:10" ht="15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>
        <v>43726</v>
      </c>
      <c r="J10" s="102"/>
    </row>
    <row r="11" spans="1:10" ht="15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9" ht="18.75" customHeight="1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>
      <c r="A13" s="160" t="s">
        <v>37</v>
      </c>
      <c r="B13" s="788" t="s">
        <v>38</v>
      </c>
      <c r="C13" s="789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>
      <c r="A14" s="161"/>
      <c r="B14" s="162"/>
      <c r="C14" s="163"/>
      <c r="D14" s="792" t="s">
        <v>45</v>
      </c>
      <c r="E14" s="750"/>
      <c r="F14" s="755">
        <v>0</v>
      </c>
      <c r="G14" s="749" t="s">
        <v>1177</v>
      </c>
      <c r="H14" s="750"/>
      <c r="I14" s="755">
        <v>0</v>
      </c>
      <c r="J14" s="102"/>
    </row>
    <row r="15" spans="1:10" ht="16.8" customHeight="1">
      <c r="A15" s="164"/>
      <c r="B15" s="165"/>
      <c r="C15" s="166"/>
      <c r="D15" s="793"/>
      <c r="E15" s="752"/>
      <c r="F15" s="756"/>
      <c r="G15" s="751"/>
      <c r="H15" s="752"/>
      <c r="I15" s="756"/>
      <c r="J15" s="102"/>
    </row>
    <row r="16" spans="1:10" ht="16.2" customHeight="1">
      <c r="A16" s="164"/>
      <c r="B16" s="165"/>
      <c r="C16" s="166"/>
      <c r="D16" s="794"/>
      <c r="E16" s="754"/>
      <c r="F16" s="757"/>
      <c r="G16" s="751"/>
      <c r="H16" s="752"/>
      <c r="I16" s="756"/>
      <c r="J16" s="102"/>
    </row>
    <row r="17" spans="1:10" ht="12.6" customHeight="1">
      <c r="A17" s="164"/>
      <c r="B17" s="165"/>
      <c r="C17" s="166"/>
      <c r="D17" s="792" t="s">
        <v>49</v>
      </c>
      <c r="E17" s="750"/>
      <c r="F17" s="818">
        <v>0</v>
      </c>
      <c r="G17" s="751"/>
      <c r="H17" s="752"/>
      <c r="I17" s="756"/>
      <c r="J17" s="102"/>
    </row>
    <row r="18" spans="1:10" ht="12.75" customHeight="1">
      <c r="A18" s="164"/>
      <c r="B18" s="165"/>
      <c r="C18" s="166"/>
      <c r="D18" s="793"/>
      <c r="E18" s="752"/>
      <c r="F18" s="819"/>
      <c r="G18" s="751"/>
      <c r="H18" s="752"/>
      <c r="I18" s="756"/>
      <c r="J18" s="102"/>
    </row>
    <row r="19" spans="1:10" ht="12.75" customHeight="1">
      <c r="A19" s="164"/>
      <c r="B19" s="165"/>
      <c r="C19" s="166"/>
      <c r="D19" s="793"/>
      <c r="E19" s="752"/>
      <c r="F19" s="819"/>
      <c r="G19" s="751"/>
      <c r="H19" s="752"/>
      <c r="I19" s="756"/>
      <c r="J19" s="102"/>
    </row>
    <row r="20" spans="1:10" ht="12.75" customHeight="1">
      <c r="A20" s="798"/>
      <c r="B20" s="799"/>
      <c r="C20" s="166"/>
      <c r="D20" s="793"/>
      <c r="E20" s="752"/>
      <c r="F20" s="819"/>
      <c r="G20" s="751"/>
      <c r="H20" s="752"/>
      <c r="I20" s="756"/>
      <c r="J20" s="102"/>
    </row>
    <row r="21" spans="1:10" ht="30.6" customHeight="1">
      <c r="A21" s="800"/>
      <c r="B21" s="801"/>
      <c r="C21" s="167"/>
      <c r="D21" s="794"/>
      <c r="E21" s="754"/>
      <c r="F21" s="820"/>
      <c r="G21" s="753"/>
      <c r="H21" s="754"/>
      <c r="I21" s="757"/>
      <c r="J21" s="102"/>
    </row>
    <row r="22" spans="1:10" ht="16.95" customHeight="1">
      <c r="A22" s="800" t="s">
        <v>54</v>
      </c>
      <c r="B22" s="807"/>
      <c r="C22" s="168">
        <f>'SO 06_Výkaz výměr'!E40</f>
        <v>0</v>
      </c>
      <c r="D22" s="802" t="s">
        <v>55</v>
      </c>
      <c r="E22" s="803"/>
      <c r="F22" s="106">
        <f>SUM(F14:F21)</f>
        <v>0</v>
      </c>
      <c r="G22" s="802" t="s">
        <v>56</v>
      </c>
      <c r="H22" s="803"/>
      <c r="I22" s="106">
        <f>I14</f>
        <v>0</v>
      </c>
      <c r="J22" s="102"/>
    </row>
    <row r="23" spans="1:9" ht="12.75" customHeight="1">
      <c r="A23" s="109"/>
      <c r="B23" s="109"/>
      <c r="C23" s="109"/>
      <c r="D23" s="804"/>
      <c r="E23" s="799"/>
      <c r="F23" s="169"/>
      <c r="G23" s="804"/>
      <c r="H23" s="799"/>
      <c r="I23" s="169"/>
    </row>
    <row r="24" spans="7:8" ht="12.75" customHeight="1">
      <c r="G24" s="804"/>
      <c r="H24" s="799"/>
    </row>
    <row r="25" spans="7:9" ht="12.75" customHeight="1">
      <c r="G25" s="804"/>
      <c r="H25" s="799"/>
      <c r="I25" s="169"/>
    </row>
    <row r="26" spans="1:3" ht="15">
      <c r="A26" s="100"/>
      <c r="B26" s="100"/>
      <c r="C26" s="100"/>
    </row>
    <row r="27" spans="1:9" ht="12.75" customHeight="1">
      <c r="A27" s="805" t="s">
        <v>57</v>
      </c>
      <c r="B27" s="806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805" t="s">
        <v>58</v>
      </c>
      <c r="B28" s="806"/>
      <c r="C28" s="115">
        <v>0</v>
      </c>
      <c r="D28" s="805" t="s">
        <v>59</v>
      </c>
      <c r="E28" s="806"/>
      <c r="F28" s="115">
        <v>0</v>
      </c>
      <c r="G28" s="805" t="s">
        <v>60</v>
      </c>
      <c r="H28" s="806"/>
      <c r="I28" s="115">
        <f>SUM(C27:C29)</f>
        <v>0</v>
      </c>
      <c r="J28" s="102"/>
    </row>
    <row r="29" spans="1:10" ht="12.75" customHeight="1">
      <c r="A29" s="805" t="s">
        <v>61</v>
      </c>
      <c r="B29" s="806"/>
      <c r="C29" s="115">
        <f>SUM(C22,F22,I22)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9" ht="13.8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9" ht="10.8" customHeight="1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algorithmName="SHA-512" hashValue="Y/n4sPdizTKEvukCtNQpewqhnBvd7t0k3E3q30mpOlRrVifG4TACSGP3554umC5d5GllBed0KpWMkd9CPj1+fw==" saltValue="uRgiZc6FHXnJH2MY1H/oaQ==" spinCount="100000" sheet="1" objects="1" scenarios="1"/>
  <mergeCells count="7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6B91-8D68-478F-B1D9-E78B5C436B3F}">
  <sheetPr>
    <tabColor theme="4" tint="0.7999799847602844"/>
    <pageSetUpPr fitToPage="1"/>
  </sheetPr>
  <dimension ref="A1:F40"/>
  <sheetViews>
    <sheetView view="pageBreakPreview" zoomScale="130" zoomScaleSheetLayoutView="130" workbookViewId="0" topLeftCell="A25">
      <selection activeCell="L17" sqref="L17"/>
    </sheetView>
  </sheetViews>
  <sheetFormatPr defaultColWidth="9.140625" defaultRowHeight="15"/>
  <cols>
    <col min="1" max="1" width="8.421875" style="553" customWidth="1"/>
    <col min="2" max="2" width="47.57421875" style="554" customWidth="1"/>
    <col min="3" max="3" width="9.140625" style="555" customWidth="1"/>
    <col min="4" max="4" width="5.8515625" style="556" customWidth="1"/>
    <col min="5" max="5" width="11.8515625" style="517" customWidth="1"/>
    <col min="6" max="6" width="15.421875" style="517" customWidth="1"/>
    <col min="7" max="16384" width="9.140625" style="517" customWidth="1"/>
  </cols>
  <sheetData>
    <row r="1" spans="1:6" ht="33" customHeight="1" thickBot="1">
      <c r="A1" s="901" t="s">
        <v>1910</v>
      </c>
      <c r="B1" s="901"/>
      <c r="C1" s="901"/>
      <c r="D1" s="901"/>
      <c r="E1" s="901"/>
      <c r="F1" s="901"/>
    </row>
    <row r="2" spans="1:6" s="522" customFormat="1" ht="27" thickBot="1">
      <c r="A2" s="518" t="s">
        <v>1911</v>
      </c>
      <c r="B2" s="519" t="s">
        <v>1912</v>
      </c>
      <c r="C2" s="519" t="s">
        <v>1913</v>
      </c>
      <c r="D2" s="519" t="s">
        <v>80</v>
      </c>
      <c r="E2" s="520" t="s">
        <v>1390</v>
      </c>
      <c r="F2" s="521" t="s">
        <v>1189</v>
      </c>
    </row>
    <row r="3" spans="1:6" s="528" customFormat="1" ht="10.2">
      <c r="A3" s="523"/>
      <c r="B3" s="524"/>
      <c r="C3" s="525"/>
      <c r="D3" s="526"/>
      <c r="E3" s="527"/>
      <c r="F3" s="527"/>
    </row>
    <row r="4" spans="1:6" s="528" customFormat="1" ht="10.2">
      <c r="A4" s="529"/>
      <c r="B4" s="530"/>
      <c r="C4" s="531"/>
      <c r="D4" s="532"/>
      <c r="E4" s="533"/>
      <c r="F4" s="533"/>
    </row>
    <row r="5" spans="1:6" s="539" customFormat="1" ht="10.2">
      <c r="A5" s="534"/>
      <c r="B5" s="535" t="s">
        <v>1914</v>
      </c>
      <c r="C5" s="536"/>
      <c r="D5" s="537"/>
      <c r="E5" s="538"/>
      <c r="F5" s="538"/>
    </row>
    <row r="6" spans="1:6" s="545" customFormat="1" ht="10.2">
      <c r="A6" s="540" t="s">
        <v>1915</v>
      </c>
      <c r="B6" s="541" t="s">
        <v>1510</v>
      </c>
      <c r="C6" s="542">
        <v>894</v>
      </c>
      <c r="D6" s="543" t="s">
        <v>209</v>
      </c>
      <c r="E6" s="544"/>
      <c r="F6" s="544">
        <f aca="true" t="shared" si="0" ref="F6:F16">C6*E6</f>
        <v>0</v>
      </c>
    </row>
    <row r="7" spans="1:6" s="528" customFormat="1" ht="40.8">
      <c r="A7" s="529" t="s">
        <v>1916</v>
      </c>
      <c r="B7" s="530" t="s">
        <v>1550</v>
      </c>
      <c r="C7" s="531">
        <v>894</v>
      </c>
      <c r="D7" s="532" t="s">
        <v>209</v>
      </c>
      <c r="E7" s="533"/>
      <c r="F7" s="533">
        <f t="shared" si="0"/>
        <v>0</v>
      </c>
    </row>
    <row r="8" spans="1:6" s="545" customFormat="1" ht="10.2">
      <c r="A8" s="540" t="s">
        <v>1917</v>
      </c>
      <c r="B8" s="541" t="s">
        <v>1516</v>
      </c>
      <c r="C8" s="542">
        <v>894</v>
      </c>
      <c r="D8" s="543" t="s">
        <v>209</v>
      </c>
      <c r="E8" s="544"/>
      <c r="F8" s="544">
        <f t="shared" si="0"/>
        <v>0</v>
      </c>
    </row>
    <row r="9" spans="1:6" s="545" customFormat="1" ht="30.6">
      <c r="A9" s="540" t="s">
        <v>1918</v>
      </c>
      <c r="B9" s="541" t="s">
        <v>1517</v>
      </c>
      <c r="C9" s="542">
        <v>894</v>
      </c>
      <c r="D9" s="543" t="s">
        <v>209</v>
      </c>
      <c r="E9" s="544"/>
      <c r="F9" s="544">
        <f t="shared" si="0"/>
        <v>0</v>
      </c>
    </row>
    <row r="10" spans="1:6" s="545" customFormat="1" ht="10.2">
      <c r="A10" s="540" t="s">
        <v>1919</v>
      </c>
      <c r="B10" s="541" t="s">
        <v>1518</v>
      </c>
      <c r="C10" s="542">
        <v>32</v>
      </c>
      <c r="D10" s="543" t="s">
        <v>253</v>
      </c>
      <c r="E10" s="544"/>
      <c r="F10" s="544">
        <f t="shared" si="0"/>
        <v>0</v>
      </c>
    </row>
    <row r="11" spans="1:6" s="545" customFormat="1" ht="30.6">
      <c r="A11" s="540" t="s">
        <v>1920</v>
      </c>
      <c r="B11" s="541" t="s">
        <v>1519</v>
      </c>
      <c r="C11" s="542">
        <v>894</v>
      </c>
      <c r="D11" s="543" t="s">
        <v>209</v>
      </c>
      <c r="E11" s="544"/>
      <c r="F11" s="544">
        <f t="shared" si="0"/>
        <v>0</v>
      </c>
    </row>
    <row r="12" spans="1:6" s="528" customFormat="1" ht="30.6">
      <c r="A12" s="529" t="s">
        <v>1921</v>
      </c>
      <c r="B12" s="530" t="s">
        <v>1521</v>
      </c>
      <c r="C12" s="531">
        <v>894</v>
      </c>
      <c r="D12" s="532" t="s">
        <v>209</v>
      </c>
      <c r="E12" s="533"/>
      <c r="F12" s="533">
        <f t="shared" si="0"/>
        <v>0</v>
      </c>
    </row>
    <row r="13" spans="1:6" s="528" customFormat="1" ht="10.2">
      <c r="A13" s="529" t="s">
        <v>1922</v>
      </c>
      <c r="B13" s="530" t="s">
        <v>1923</v>
      </c>
      <c r="C13" s="531">
        <v>32</v>
      </c>
      <c r="D13" s="532" t="s">
        <v>253</v>
      </c>
      <c r="E13" s="533"/>
      <c r="F13" s="533">
        <f t="shared" si="0"/>
        <v>0</v>
      </c>
    </row>
    <row r="14" spans="1:6" s="528" customFormat="1" ht="20.4">
      <c r="A14" s="529" t="s">
        <v>1924</v>
      </c>
      <c r="B14" s="530" t="s">
        <v>1925</v>
      </c>
      <c r="C14" s="531">
        <v>480</v>
      </c>
      <c r="D14" s="532" t="s">
        <v>253</v>
      </c>
      <c r="E14" s="533"/>
      <c r="F14" s="533">
        <f t="shared" si="0"/>
        <v>0</v>
      </c>
    </row>
    <row r="15" spans="1:6" s="545" customFormat="1" ht="30.6">
      <c r="A15" s="540" t="s">
        <v>1926</v>
      </c>
      <c r="B15" s="541" t="s">
        <v>1927</v>
      </c>
      <c r="C15" s="542">
        <v>894</v>
      </c>
      <c r="D15" s="543" t="s">
        <v>209</v>
      </c>
      <c r="E15" s="544"/>
      <c r="F15" s="544">
        <f t="shared" si="0"/>
        <v>0</v>
      </c>
    </row>
    <row r="16" spans="1:6" s="528" customFormat="1" ht="30.6">
      <c r="A16" s="529" t="s">
        <v>1928</v>
      </c>
      <c r="B16" s="530" t="s">
        <v>1528</v>
      </c>
      <c r="C16" s="531">
        <v>32</v>
      </c>
      <c r="D16" s="532" t="s">
        <v>253</v>
      </c>
      <c r="E16" s="533"/>
      <c r="F16" s="533">
        <f t="shared" si="0"/>
        <v>0</v>
      </c>
    </row>
    <row r="17" spans="1:6" s="539" customFormat="1" ht="10.2">
      <c r="A17" s="534"/>
      <c r="B17" s="535"/>
      <c r="C17" s="536"/>
      <c r="D17" s="537"/>
      <c r="E17" s="538"/>
      <c r="F17" s="538"/>
    </row>
    <row r="18" spans="1:6" s="539" customFormat="1" ht="10.2">
      <c r="A18" s="534"/>
      <c r="B18" s="535" t="s">
        <v>1929</v>
      </c>
      <c r="C18" s="536"/>
      <c r="D18" s="537"/>
      <c r="E18" s="538"/>
      <c r="F18" s="538"/>
    </row>
    <row r="19" spans="1:6" s="545" customFormat="1" ht="10.2">
      <c r="A19" s="540" t="s">
        <v>1930</v>
      </c>
      <c r="B19" s="541" t="s">
        <v>1510</v>
      </c>
      <c r="C19" s="542">
        <v>645</v>
      </c>
      <c r="D19" s="543" t="s">
        <v>209</v>
      </c>
      <c r="E19" s="544"/>
      <c r="F19" s="544">
        <f aca="true" t="shared" si="1" ref="F19:F37">C19*E19</f>
        <v>0</v>
      </c>
    </row>
    <row r="20" spans="1:6" s="528" customFormat="1" ht="40.8">
      <c r="A20" s="529" t="s">
        <v>1931</v>
      </c>
      <c r="B20" s="530" t="s">
        <v>1932</v>
      </c>
      <c r="C20" s="531">
        <v>645</v>
      </c>
      <c r="D20" s="532" t="s">
        <v>209</v>
      </c>
      <c r="E20" s="533"/>
      <c r="F20" s="533">
        <f t="shared" si="1"/>
        <v>0</v>
      </c>
    </row>
    <row r="21" spans="1:6" s="545" customFormat="1" ht="10.2">
      <c r="A21" s="540" t="s">
        <v>1933</v>
      </c>
      <c r="B21" s="541" t="s">
        <v>1516</v>
      </c>
      <c r="C21" s="542">
        <v>645</v>
      </c>
      <c r="D21" s="543" t="s">
        <v>209</v>
      </c>
      <c r="E21" s="544"/>
      <c r="F21" s="544">
        <f t="shared" si="1"/>
        <v>0</v>
      </c>
    </row>
    <row r="22" spans="1:6" s="545" customFormat="1" ht="30.6">
      <c r="A22" s="540" t="s">
        <v>1934</v>
      </c>
      <c r="B22" s="541" t="s">
        <v>1517</v>
      </c>
      <c r="C22" s="542">
        <v>645</v>
      </c>
      <c r="D22" s="543" t="s">
        <v>209</v>
      </c>
      <c r="E22" s="544"/>
      <c r="F22" s="544">
        <f t="shared" si="1"/>
        <v>0</v>
      </c>
    </row>
    <row r="23" spans="1:6" s="545" customFormat="1" ht="10.2">
      <c r="A23" s="540" t="s">
        <v>1935</v>
      </c>
      <c r="B23" s="541" t="s">
        <v>1518</v>
      </c>
      <c r="C23" s="542">
        <f>25.305+9.32+1.426</f>
        <v>36.051</v>
      </c>
      <c r="D23" s="543" t="s">
        <v>253</v>
      </c>
      <c r="E23" s="544"/>
      <c r="F23" s="544">
        <f t="shared" si="1"/>
        <v>0</v>
      </c>
    </row>
    <row r="24" spans="1:6" s="545" customFormat="1" ht="30.6">
      <c r="A24" s="540" t="s">
        <v>1936</v>
      </c>
      <c r="B24" s="541" t="s">
        <v>1937</v>
      </c>
      <c r="C24" s="542">
        <v>292</v>
      </c>
      <c r="D24" s="543" t="s">
        <v>209</v>
      </c>
      <c r="E24" s="544"/>
      <c r="F24" s="544">
        <f t="shared" si="1"/>
        <v>0</v>
      </c>
    </row>
    <row r="25" spans="1:6" s="545" customFormat="1" ht="10.2">
      <c r="A25" s="540" t="s">
        <v>1938</v>
      </c>
      <c r="B25" s="541" t="s">
        <v>1939</v>
      </c>
      <c r="C25" s="542">
        <v>292</v>
      </c>
      <c r="D25" s="543" t="s">
        <v>109</v>
      </c>
      <c r="E25" s="544"/>
      <c r="F25" s="544">
        <f t="shared" si="1"/>
        <v>0</v>
      </c>
    </row>
    <row r="26" spans="1:6" s="545" customFormat="1" ht="10.2">
      <c r="A26" s="540" t="s">
        <v>1940</v>
      </c>
      <c r="B26" s="541" t="s">
        <v>1941</v>
      </c>
      <c r="C26" s="542">
        <v>292</v>
      </c>
      <c r="D26" s="543" t="s">
        <v>109</v>
      </c>
      <c r="E26" s="544"/>
      <c r="F26" s="544">
        <f t="shared" si="1"/>
        <v>0</v>
      </c>
    </row>
    <row r="27" spans="1:6" s="545" customFormat="1" ht="10.2">
      <c r="A27" s="540" t="s">
        <v>1942</v>
      </c>
      <c r="B27" s="541" t="s">
        <v>1943</v>
      </c>
      <c r="C27" s="542">
        <v>706</v>
      </c>
      <c r="D27" s="543" t="s">
        <v>209</v>
      </c>
      <c r="E27" s="544"/>
      <c r="F27" s="544">
        <f t="shared" si="1"/>
        <v>0</v>
      </c>
    </row>
    <row r="28" spans="1:6" s="545" customFormat="1" ht="10.2">
      <c r="A28" s="540" t="s">
        <v>1944</v>
      </c>
      <c r="B28" s="541" t="s">
        <v>1945</v>
      </c>
      <c r="C28" s="542">
        <v>706</v>
      </c>
      <c r="D28" s="543" t="s">
        <v>209</v>
      </c>
      <c r="E28" s="544"/>
      <c r="F28" s="544">
        <f t="shared" si="1"/>
        <v>0</v>
      </c>
    </row>
    <row r="29" spans="1:6" s="545" customFormat="1" ht="30.6">
      <c r="A29" s="540" t="s">
        <v>1946</v>
      </c>
      <c r="B29" s="541" t="s">
        <v>1947</v>
      </c>
      <c r="C29" s="542">
        <v>353</v>
      </c>
      <c r="D29" s="543" t="s">
        <v>209</v>
      </c>
      <c r="E29" s="544"/>
      <c r="F29" s="544">
        <f t="shared" si="1"/>
        <v>0</v>
      </c>
    </row>
    <row r="30" spans="1:6" s="545" customFormat="1" ht="10.2">
      <c r="A30" s="540" t="s">
        <v>1948</v>
      </c>
      <c r="B30" s="541" t="s">
        <v>1949</v>
      </c>
      <c r="C30" s="542">
        <v>706</v>
      </c>
      <c r="D30" s="543" t="s">
        <v>209</v>
      </c>
      <c r="E30" s="544"/>
      <c r="F30" s="544">
        <f t="shared" si="1"/>
        <v>0</v>
      </c>
    </row>
    <row r="31" spans="1:6" s="545" customFormat="1" ht="10.2">
      <c r="A31" s="540" t="s">
        <v>1950</v>
      </c>
      <c r="B31" s="541" t="s">
        <v>1951</v>
      </c>
      <c r="C31" s="542">
        <v>353</v>
      </c>
      <c r="D31" s="543" t="s">
        <v>209</v>
      </c>
      <c r="E31" s="544"/>
      <c r="F31" s="544">
        <f t="shared" si="1"/>
        <v>0</v>
      </c>
    </row>
    <row r="32" spans="1:6" s="528" customFormat="1" ht="20.4">
      <c r="A32" s="529" t="s">
        <v>1952</v>
      </c>
      <c r="B32" s="530" t="s">
        <v>1953</v>
      </c>
      <c r="C32" s="531">
        <v>353</v>
      </c>
      <c r="D32" s="532" t="s">
        <v>209</v>
      </c>
      <c r="E32" s="533"/>
      <c r="F32" s="533">
        <f t="shared" si="1"/>
        <v>0</v>
      </c>
    </row>
    <row r="33" spans="1:6" s="528" customFormat="1" ht="30.6">
      <c r="A33" s="529" t="s">
        <v>1954</v>
      </c>
      <c r="B33" s="530" t="s">
        <v>1955</v>
      </c>
      <c r="C33" s="531">
        <v>292</v>
      </c>
      <c r="D33" s="532" t="s">
        <v>209</v>
      </c>
      <c r="E33" s="533"/>
      <c r="F33" s="533">
        <f t="shared" si="1"/>
        <v>0</v>
      </c>
    </row>
    <row r="34" spans="1:6" s="528" customFormat="1" ht="10.2">
      <c r="A34" s="529" t="s">
        <v>1956</v>
      </c>
      <c r="B34" s="530" t="s">
        <v>1923</v>
      </c>
      <c r="C34" s="531">
        <v>50.09</v>
      </c>
      <c r="D34" s="532" t="s">
        <v>253</v>
      </c>
      <c r="E34" s="533"/>
      <c r="F34" s="533">
        <f t="shared" si="1"/>
        <v>0</v>
      </c>
    </row>
    <row r="35" spans="1:6" s="528" customFormat="1" ht="20.4">
      <c r="A35" s="529" t="s">
        <v>1957</v>
      </c>
      <c r="B35" s="530" t="s">
        <v>1925</v>
      </c>
      <c r="C35" s="531">
        <v>750</v>
      </c>
      <c r="D35" s="532" t="s">
        <v>253</v>
      </c>
      <c r="E35" s="533"/>
      <c r="F35" s="533">
        <f t="shared" si="1"/>
        <v>0</v>
      </c>
    </row>
    <row r="36" spans="1:6" s="545" customFormat="1" ht="30.6">
      <c r="A36" s="540" t="s">
        <v>1958</v>
      </c>
      <c r="B36" s="541" t="s">
        <v>1927</v>
      </c>
      <c r="C36" s="542">
        <v>645</v>
      </c>
      <c r="D36" s="543" t="s">
        <v>209</v>
      </c>
      <c r="E36" s="544"/>
      <c r="F36" s="544">
        <f t="shared" si="1"/>
        <v>0</v>
      </c>
    </row>
    <row r="37" spans="1:6" s="528" customFormat="1" ht="30.6">
      <c r="A37" s="529" t="s">
        <v>1959</v>
      </c>
      <c r="B37" s="530" t="s">
        <v>1528</v>
      </c>
      <c r="C37" s="531">
        <v>50.09</v>
      </c>
      <c r="D37" s="532" t="s">
        <v>253</v>
      </c>
      <c r="E37" s="533"/>
      <c r="F37" s="533">
        <f t="shared" si="1"/>
        <v>0</v>
      </c>
    </row>
    <row r="38" spans="1:6" s="528" customFormat="1" ht="10.2">
      <c r="A38" s="529"/>
      <c r="B38" s="530"/>
      <c r="C38" s="531"/>
      <c r="D38" s="532"/>
      <c r="E38" s="533"/>
      <c r="F38" s="533"/>
    </row>
    <row r="39" spans="1:6" ht="15">
      <c r="A39" s="546"/>
      <c r="B39" s="547"/>
      <c r="C39" s="548"/>
      <c r="D39" s="532"/>
      <c r="E39" s="533"/>
      <c r="F39" s="533"/>
    </row>
    <row r="40" spans="1:6" ht="18" thickBot="1">
      <c r="A40" s="549"/>
      <c r="B40" s="550" t="s">
        <v>60</v>
      </c>
      <c r="C40" s="551"/>
      <c r="D40" s="552"/>
      <c r="E40" s="902">
        <f>SUM(F5:F39)</f>
        <v>0</v>
      </c>
      <c r="F40" s="902"/>
    </row>
  </sheetData>
  <mergeCells count="2">
    <mergeCell ref="A1:F1"/>
    <mergeCell ref="E40:F40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96E3-8E36-446F-917E-73318C035D7F}">
  <sheetPr>
    <pageSetUpPr fitToPage="1"/>
  </sheetPr>
  <dimension ref="A1:J29"/>
  <sheetViews>
    <sheetView workbookViewId="0" topLeftCell="A1">
      <selection activeCell="P19" sqref="P19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05" customHeight="1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ht="15">
      <c r="A2" s="764" t="s">
        <v>13</v>
      </c>
      <c r="B2" s="765"/>
      <c r="C2" s="768" t="s">
        <v>14</v>
      </c>
      <c r="D2" s="769"/>
      <c r="E2" s="771" t="s">
        <v>15</v>
      </c>
      <c r="F2" s="771" t="s">
        <v>1371</v>
      </c>
      <c r="G2" s="765"/>
      <c r="H2" s="771" t="s">
        <v>25</v>
      </c>
      <c r="I2" s="772"/>
      <c r="J2" s="102"/>
    </row>
    <row r="3" spans="1:10" ht="12.75" customHeight="1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ht="15">
      <c r="A4" s="776" t="s">
        <v>26</v>
      </c>
      <c r="B4" s="767"/>
      <c r="C4" s="777" t="s">
        <v>1960</v>
      </c>
      <c r="D4" s="767"/>
      <c r="E4" s="777" t="s">
        <v>27</v>
      </c>
      <c r="F4" s="777"/>
      <c r="G4" s="767"/>
      <c r="H4" s="777" t="s">
        <v>25</v>
      </c>
      <c r="I4" s="778"/>
      <c r="J4" s="102"/>
    </row>
    <row r="5" spans="1:10" ht="12.75" customHeight="1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ht="15">
      <c r="A6" s="776" t="s">
        <v>16</v>
      </c>
      <c r="B6" s="767"/>
      <c r="C6" s="777" t="s">
        <v>17</v>
      </c>
      <c r="D6" s="767"/>
      <c r="E6" s="777" t="s">
        <v>29</v>
      </c>
      <c r="F6" s="779"/>
      <c r="G6" s="780"/>
      <c r="H6" s="777" t="s">
        <v>25</v>
      </c>
      <c r="I6" s="774"/>
      <c r="J6" s="102"/>
    </row>
    <row r="7" spans="1:10" ht="12.75" customHeight="1">
      <c r="A7" s="766"/>
      <c r="B7" s="767"/>
      <c r="C7" s="767"/>
      <c r="D7" s="767"/>
      <c r="E7" s="767"/>
      <c r="F7" s="780"/>
      <c r="G7" s="780"/>
      <c r="H7" s="767"/>
      <c r="I7" s="775"/>
      <c r="J7" s="102"/>
    </row>
    <row r="8" spans="1:10" ht="15">
      <c r="A8" s="776" t="s">
        <v>30</v>
      </c>
      <c r="B8" s="767"/>
      <c r="C8" s="779"/>
      <c r="D8" s="780"/>
      <c r="E8" s="777" t="s">
        <v>31</v>
      </c>
      <c r="F8" s="779"/>
      <c r="G8" s="780"/>
      <c r="H8" s="783" t="s">
        <v>32</v>
      </c>
      <c r="I8" s="778" t="s">
        <v>114</v>
      </c>
      <c r="J8" s="102"/>
    </row>
    <row r="9" spans="1:10" ht="15">
      <c r="A9" s="766"/>
      <c r="B9" s="767"/>
      <c r="C9" s="780"/>
      <c r="D9" s="780"/>
      <c r="E9" s="767"/>
      <c r="F9" s="780"/>
      <c r="G9" s="780"/>
      <c r="H9" s="767"/>
      <c r="I9" s="773"/>
      <c r="J9" s="102"/>
    </row>
    <row r="10" spans="1:10" ht="15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/>
      <c r="J10" s="102"/>
    </row>
    <row r="11" spans="1:10" ht="15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9" ht="18.75" customHeight="1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>
      <c r="A13" s="160" t="s">
        <v>37</v>
      </c>
      <c r="B13" s="790" t="s">
        <v>38</v>
      </c>
      <c r="C13" s="903"/>
      <c r="D13" s="103" t="s">
        <v>39</v>
      </c>
      <c r="E13" s="790" t="s">
        <v>40</v>
      </c>
      <c r="F13" s="903"/>
      <c r="G13" s="103" t="s">
        <v>41</v>
      </c>
      <c r="H13" s="790" t="s">
        <v>42</v>
      </c>
      <c r="I13" s="903"/>
      <c r="J13" s="102"/>
    </row>
    <row r="14" spans="1:10" ht="16.95" customHeight="1">
      <c r="A14" s="800" t="s">
        <v>54</v>
      </c>
      <c r="B14" s="807"/>
      <c r="C14" s="168">
        <f>'SO 07_Výkaz výměr'!G13</f>
        <v>0</v>
      </c>
      <c r="D14" s="802"/>
      <c r="E14" s="803"/>
      <c r="F14" s="106"/>
      <c r="G14" s="802"/>
      <c r="H14" s="803"/>
      <c r="I14" s="106"/>
      <c r="J14" s="102"/>
    </row>
    <row r="15" spans="1:9" ht="12.75" customHeight="1">
      <c r="A15" s="109"/>
      <c r="B15" s="109"/>
      <c r="C15" s="109"/>
      <c r="D15" s="804"/>
      <c r="E15" s="799"/>
      <c r="F15" s="169"/>
      <c r="G15" s="804"/>
      <c r="H15" s="799"/>
      <c r="I15" s="169"/>
    </row>
    <row r="16" spans="7:8" ht="12.75" customHeight="1">
      <c r="G16" s="804"/>
      <c r="H16" s="799"/>
    </row>
    <row r="17" spans="7:9" ht="12.75" customHeight="1">
      <c r="G17" s="804"/>
      <c r="H17" s="799"/>
      <c r="I17" s="169"/>
    </row>
    <row r="18" spans="1:3" ht="15">
      <c r="A18" s="100"/>
      <c r="B18" s="100"/>
      <c r="C18" s="100"/>
    </row>
    <row r="19" spans="1:9" ht="12.75" customHeight="1">
      <c r="A19" s="805" t="s">
        <v>57</v>
      </c>
      <c r="B19" s="806"/>
      <c r="C19" s="115">
        <v>0</v>
      </c>
      <c r="D19" s="116"/>
      <c r="E19" s="100"/>
      <c r="F19" s="100"/>
      <c r="G19" s="100"/>
      <c r="H19" s="100"/>
      <c r="I19" s="100"/>
    </row>
    <row r="20" spans="1:10" ht="12.75" customHeight="1">
      <c r="A20" s="805" t="s">
        <v>58</v>
      </c>
      <c r="B20" s="806"/>
      <c r="C20" s="115">
        <v>0</v>
      </c>
      <c r="D20" s="805" t="s">
        <v>59</v>
      </c>
      <c r="E20" s="806"/>
      <c r="F20" s="115">
        <v>0</v>
      </c>
      <c r="G20" s="805" t="s">
        <v>60</v>
      </c>
      <c r="H20" s="806"/>
      <c r="I20" s="115">
        <f>SUM(C19:C21)</f>
        <v>0</v>
      </c>
      <c r="J20" s="102"/>
    </row>
    <row r="21" spans="1:10" ht="12.75" customHeight="1">
      <c r="A21" s="805" t="s">
        <v>61</v>
      </c>
      <c r="B21" s="806"/>
      <c r="C21" s="115">
        <f>SUM(C14,F14,I14)</f>
        <v>0</v>
      </c>
      <c r="D21" s="805" t="s">
        <v>8</v>
      </c>
      <c r="E21" s="806"/>
      <c r="F21" s="115">
        <f>ROUND(C21*(21/100),2)</f>
        <v>0</v>
      </c>
      <c r="G21" s="805" t="s">
        <v>62</v>
      </c>
      <c r="H21" s="806"/>
      <c r="I21" s="115">
        <f>SUM(F20:F21)+I20</f>
        <v>0</v>
      </c>
      <c r="J21" s="102"/>
    </row>
    <row r="22" spans="1:9" ht="13.8" thickBot="1">
      <c r="A22" s="117"/>
      <c r="B22" s="117"/>
      <c r="C22" s="117"/>
      <c r="D22" s="117"/>
      <c r="E22" s="117"/>
      <c r="F22" s="117"/>
      <c r="G22" s="117"/>
      <c r="H22" s="117"/>
      <c r="I22" s="117"/>
    </row>
    <row r="23" spans="1:10" ht="12.75" customHeight="1">
      <c r="A23" s="808" t="s">
        <v>63</v>
      </c>
      <c r="B23" s="809"/>
      <c r="C23" s="810"/>
      <c r="D23" s="808" t="s">
        <v>64</v>
      </c>
      <c r="E23" s="809"/>
      <c r="F23" s="810"/>
      <c r="G23" s="808" t="s">
        <v>65</v>
      </c>
      <c r="H23" s="809"/>
      <c r="I23" s="810"/>
      <c r="J23" s="118"/>
    </row>
    <row r="24" spans="1:10" ht="12.75" customHeight="1">
      <c r="A24" s="811"/>
      <c r="B24" s="812"/>
      <c r="C24" s="813"/>
      <c r="D24" s="811"/>
      <c r="E24" s="812"/>
      <c r="F24" s="813"/>
      <c r="G24" s="811"/>
      <c r="H24" s="812"/>
      <c r="I24" s="813"/>
      <c r="J24" s="118"/>
    </row>
    <row r="25" spans="1:10" ht="12.75" customHeight="1">
      <c r="A25" s="811"/>
      <c r="B25" s="812"/>
      <c r="C25" s="813"/>
      <c r="D25" s="811"/>
      <c r="E25" s="812"/>
      <c r="F25" s="813"/>
      <c r="G25" s="811"/>
      <c r="H25" s="812"/>
      <c r="I25" s="813"/>
      <c r="J25" s="118"/>
    </row>
    <row r="26" spans="1:10" ht="12.75" customHeight="1">
      <c r="A26" s="811"/>
      <c r="B26" s="812"/>
      <c r="C26" s="813"/>
      <c r="D26" s="811"/>
      <c r="E26" s="812"/>
      <c r="F26" s="813"/>
      <c r="G26" s="811"/>
      <c r="H26" s="812"/>
      <c r="I26" s="813"/>
      <c r="J26" s="118"/>
    </row>
    <row r="27" spans="1:10" ht="12.75" customHeight="1" thickBot="1">
      <c r="A27" s="814" t="s">
        <v>66</v>
      </c>
      <c r="B27" s="815"/>
      <c r="C27" s="816"/>
      <c r="D27" s="814" t="s">
        <v>66</v>
      </c>
      <c r="E27" s="815"/>
      <c r="F27" s="816"/>
      <c r="G27" s="814" t="s">
        <v>66</v>
      </c>
      <c r="H27" s="815"/>
      <c r="I27" s="816"/>
      <c r="J27" s="118"/>
    </row>
    <row r="28" spans="1:9" ht="10.8" customHeight="1">
      <c r="A28" s="119" t="s">
        <v>67</v>
      </c>
      <c r="B28" s="120"/>
      <c r="C28" s="120"/>
      <c r="D28" s="120"/>
      <c r="E28" s="120"/>
      <c r="F28" s="120"/>
      <c r="G28" s="120"/>
      <c r="H28" s="120"/>
      <c r="I28" s="120"/>
    </row>
    <row r="29" spans="1:9" ht="12.75" customHeight="1">
      <c r="A29" s="777"/>
      <c r="B29" s="767"/>
      <c r="C29" s="767"/>
      <c r="D29" s="767"/>
      <c r="E29" s="767"/>
      <c r="F29" s="767"/>
      <c r="G29" s="767"/>
      <c r="H29" s="767"/>
      <c r="I29" s="767"/>
    </row>
  </sheetData>
  <sheetProtection algorithmName="SHA-512" hashValue="LZvV/zZySQFsQeowU9WZIixpUhaW3fWNqzi0JdgMkY8yW03QaQOsIYgiWG368jhMwMqEZobPFYeBob3VCEd4Rw==" saltValue="gsVHreyNCzD5DnfzCWQK1g==" spinCount="100000" sheet="1" objects="1" scenarios="1"/>
  <mergeCells count="65">
    <mergeCell ref="A29:I29"/>
    <mergeCell ref="A26:C26"/>
    <mergeCell ref="D26:F26"/>
    <mergeCell ref="G26:I26"/>
    <mergeCell ref="A27:C27"/>
    <mergeCell ref="D27:F27"/>
    <mergeCell ref="G27:I27"/>
    <mergeCell ref="A24:C24"/>
    <mergeCell ref="D24:F24"/>
    <mergeCell ref="G24:I24"/>
    <mergeCell ref="A25:C25"/>
    <mergeCell ref="D25:F25"/>
    <mergeCell ref="G25:I25"/>
    <mergeCell ref="A21:B21"/>
    <mergeCell ref="D21:E21"/>
    <mergeCell ref="G21:H21"/>
    <mergeCell ref="A23:C23"/>
    <mergeCell ref="D23:F23"/>
    <mergeCell ref="G23:I23"/>
    <mergeCell ref="A20:B20"/>
    <mergeCell ref="D20:E20"/>
    <mergeCell ref="G20:H20"/>
    <mergeCell ref="A12:I12"/>
    <mergeCell ref="B13:C13"/>
    <mergeCell ref="E13:F13"/>
    <mergeCell ref="H13:I13"/>
    <mergeCell ref="A14:B14"/>
    <mergeCell ref="D14:E14"/>
    <mergeCell ref="G14:H14"/>
    <mergeCell ref="D15:E15"/>
    <mergeCell ref="G15:H15"/>
    <mergeCell ref="G16:H16"/>
    <mergeCell ref="G17:H17"/>
    <mergeCell ref="A19:B19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AEA8-DBB3-4035-8A16-0FE3EBD2D6D1}">
  <sheetPr>
    <tabColor theme="4" tint="0.7999799847602844"/>
  </sheetPr>
  <dimension ref="A1:G15"/>
  <sheetViews>
    <sheetView workbookViewId="0" topLeftCell="A1">
      <selection activeCell="N12" sqref="N12"/>
    </sheetView>
  </sheetViews>
  <sheetFormatPr defaultColWidth="9.140625" defaultRowHeight="15"/>
  <cols>
    <col min="1" max="1" width="14.28125" style="282" customWidth="1"/>
    <col min="2" max="2" width="7.00390625" style="282" customWidth="1"/>
    <col min="3" max="3" width="41.8515625" style="282" customWidth="1"/>
    <col min="4" max="4" width="18.28125" style="282" customWidth="1"/>
    <col min="5" max="6" width="14.28125" style="282" customWidth="1"/>
    <col min="7" max="7" width="18.421875" style="282" customWidth="1"/>
    <col min="8" max="16384" width="8.8515625" style="282" customWidth="1"/>
  </cols>
  <sheetData>
    <row r="1" spans="1:7" ht="15.6">
      <c r="A1" s="854" t="s">
        <v>1555</v>
      </c>
      <c r="B1" s="854"/>
      <c r="C1" s="854"/>
      <c r="D1" s="854"/>
      <c r="E1" s="854"/>
      <c r="F1" s="854"/>
      <c r="G1" s="854"/>
    </row>
    <row r="2" spans="1:7" ht="15" thickBot="1">
      <c r="A2" s="358"/>
      <c r="B2" s="359"/>
      <c r="C2" s="360"/>
      <c r="D2" s="360"/>
      <c r="E2" s="361"/>
      <c r="F2" s="360"/>
      <c r="G2" s="360"/>
    </row>
    <row r="3" spans="1:7" ht="15" thickTop="1">
      <c r="A3" s="855" t="s">
        <v>1556</v>
      </c>
      <c r="B3" s="856"/>
      <c r="C3" s="362" t="s">
        <v>1557</v>
      </c>
      <c r="D3" s="363"/>
      <c r="E3" s="364"/>
      <c r="F3" s="364"/>
      <c r="G3" s="365"/>
    </row>
    <row r="4" spans="1:7" ht="15" thickBot="1">
      <c r="A4" s="857" t="s">
        <v>1558</v>
      </c>
      <c r="B4" s="858"/>
      <c r="C4" s="366" t="s">
        <v>1961</v>
      </c>
      <c r="D4" s="367"/>
      <c r="E4" s="859"/>
      <c r="F4" s="859"/>
      <c r="G4" s="860"/>
    </row>
    <row r="5" spans="1:7" ht="16.5" customHeight="1" thickTop="1">
      <c r="A5" s="368"/>
      <c r="B5" s="358"/>
      <c r="C5" s="358"/>
      <c r="D5" s="358"/>
      <c r="E5" s="369"/>
      <c r="F5" s="358"/>
      <c r="G5" s="358"/>
    </row>
    <row r="6" spans="1:7" ht="16.5" customHeight="1">
      <c r="A6" s="557" t="s">
        <v>1560</v>
      </c>
      <c r="B6" s="558" t="s">
        <v>1561</v>
      </c>
      <c r="C6" s="558" t="s">
        <v>1562</v>
      </c>
      <c r="D6" s="558" t="s">
        <v>80</v>
      </c>
      <c r="E6" s="558" t="s">
        <v>1186</v>
      </c>
      <c r="F6" s="558" t="s">
        <v>1563</v>
      </c>
      <c r="G6" s="558" t="s">
        <v>1564</v>
      </c>
    </row>
    <row r="7" spans="1:7" ht="16.5" customHeight="1">
      <c r="A7" s="373" t="s">
        <v>1565</v>
      </c>
      <c r="B7" s="559"/>
      <c r="C7" s="559" t="s">
        <v>1962</v>
      </c>
      <c r="D7" s="559"/>
      <c r="E7" s="560"/>
      <c r="F7" s="560"/>
      <c r="G7" s="376"/>
    </row>
    <row r="8" spans="1:7" ht="16.5" customHeight="1">
      <c r="A8" s="373"/>
      <c r="B8" s="559"/>
      <c r="C8" s="559"/>
      <c r="D8" s="559"/>
      <c r="E8" s="560"/>
      <c r="F8" s="560"/>
      <c r="G8" s="376"/>
    </row>
    <row r="9" spans="1:7" s="568" customFormat="1" ht="52.8">
      <c r="A9" s="561"/>
      <c r="B9" s="562"/>
      <c r="C9" s="563" t="s">
        <v>1963</v>
      </c>
      <c r="D9" s="564" t="s">
        <v>306</v>
      </c>
      <c r="E9" s="565">
        <v>2</v>
      </c>
      <c r="F9" s="566"/>
      <c r="G9" s="567">
        <f>F9*E9</f>
        <v>0</v>
      </c>
    </row>
    <row r="10" spans="1:7" s="568" customFormat="1" ht="27">
      <c r="A10" s="569"/>
      <c r="B10" s="569"/>
      <c r="C10" s="570" t="s">
        <v>1964</v>
      </c>
      <c r="D10" s="571" t="s">
        <v>306</v>
      </c>
      <c r="E10" s="572">
        <v>2</v>
      </c>
      <c r="F10" s="573"/>
      <c r="G10" s="567">
        <f>F10*E10</f>
        <v>0</v>
      </c>
    </row>
    <row r="11" spans="3:7" s="568" customFormat="1" ht="33.75" customHeight="1">
      <c r="C11" s="904" t="s">
        <v>1965</v>
      </c>
      <c r="D11" s="904"/>
      <c r="E11" s="904"/>
      <c r="F11" s="904"/>
      <c r="G11" s="904"/>
    </row>
    <row r="13" spans="3:7" ht="15">
      <c r="C13" s="282" t="s">
        <v>1369</v>
      </c>
      <c r="G13" s="574">
        <f>G10+G9</f>
        <v>0</v>
      </c>
    </row>
    <row r="14" spans="3:7" ht="15">
      <c r="C14" s="282" t="s">
        <v>8</v>
      </c>
      <c r="G14" s="574">
        <f>G13*0.21</f>
        <v>0</v>
      </c>
    </row>
    <row r="15" spans="3:7" ht="15">
      <c r="C15" s="282" t="s">
        <v>1370</v>
      </c>
      <c r="G15" s="574">
        <f>G13+G14</f>
        <v>0</v>
      </c>
    </row>
  </sheetData>
  <sheetProtection algorithmName="SHA-512" hashValue="s9wSBxIr2I15DUQBzM1wykIus0SPuTkoO/eUYt8VbDhDn2aCJwZFDbut1Mi1iZEiUoZLoINuI2eSWT2uF6nBbQ==" saltValue="9FhTmpSQDrRd8OzHg85TUw==" spinCount="100000" sheet="1" objects="1" scenarios="1"/>
  <mergeCells count="5">
    <mergeCell ref="A1:G1"/>
    <mergeCell ref="A3:B3"/>
    <mergeCell ref="A4:B4"/>
    <mergeCell ref="E4:G4"/>
    <mergeCell ref="C11:G1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C724-DAE7-4B3C-89AF-769A17CCF7FC}">
  <dimension ref="A1:A1"/>
  <sheetViews>
    <sheetView workbookViewId="0" topLeftCell="A1"/>
  </sheetViews>
  <sheetFormatPr defaultColWidth="9.140625" defaultRowHeight="15"/>
  <cols>
    <col min="1" max="16384" width="8.8515625" style="282" customWidth="1"/>
  </cols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A665-B481-466C-A00C-95DCE4F4B61D}">
  <sheetPr>
    <pageSetUpPr fitToPage="1"/>
  </sheetPr>
  <dimension ref="A1:J37"/>
  <sheetViews>
    <sheetView workbookViewId="0" topLeftCell="A1">
      <selection activeCell="N24" sqref="N24"/>
    </sheetView>
  </sheetViews>
  <sheetFormatPr defaultColWidth="11.57421875" defaultRowHeight="15"/>
  <cols>
    <col min="1" max="1" width="9.140625" style="17" customWidth="1"/>
    <col min="2" max="2" width="12.7109375" style="17" customWidth="1"/>
    <col min="3" max="3" width="22.8515625" style="17" customWidth="1"/>
    <col min="4" max="4" width="10.140625" style="17" customWidth="1"/>
    <col min="5" max="5" width="14.00390625" style="17" customWidth="1"/>
    <col min="6" max="6" width="22.8515625" style="17" customWidth="1"/>
    <col min="7" max="7" width="9.140625" style="17" customWidth="1"/>
    <col min="8" max="8" width="12.7109375" style="17" customWidth="1"/>
    <col min="9" max="9" width="22.8515625" style="17" customWidth="1"/>
    <col min="10" max="256" width="11.57421875" style="17" customWidth="1"/>
    <col min="257" max="257" width="9.140625" style="17" customWidth="1"/>
    <col min="258" max="258" width="12.7109375" style="17" customWidth="1"/>
    <col min="259" max="259" width="22.8515625" style="17" customWidth="1"/>
    <col min="260" max="260" width="10.140625" style="17" customWidth="1"/>
    <col min="261" max="261" width="14.00390625" style="17" customWidth="1"/>
    <col min="262" max="262" width="22.8515625" style="17" customWidth="1"/>
    <col min="263" max="263" width="9.140625" style="17" customWidth="1"/>
    <col min="264" max="264" width="12.7109375" style="17" customWidth="1"/>
    <col min="265" max="265" width="22.8515625" style="17" customWidth="1"/>
    <col min="266" max="512" width="11.57421875" style="17" customWidth="1"/>
    <col min="513" max="513" width="9.140625" style="17" customWidth="1"/>
    <col min="514" max="514" width="12.7109375" style="17" customWidth="1"/>
    <col min="515" max="515" width="22.8515625" style="17" customWidth="1"/>
    <col min="516" max="516" width="10.140625" style="17" customWidth="1"/>
    <col min="517" max="517" width="14.00390625" style="17" customWidth="1"/>
    <col min="518" max="518" width="22.8515625" style="17" customWidth="1"/>
    <col min="519" max="519" width="9.140625" style="17" customWidth="1"/>
    <col min="520" max="520" width="12.7109375" style="17" customWidth="1"/>
    <col min="521" max="521" width="22.8515625" style="17" customWidth="1"/>
    <col min="522" max="768" width="11.57421875" style="17" customWidth="1"/>
    <col min="769" max="769" width="9.140625" style="17" customWidth="1"/>
    <col min="770" max="770" width="12.7109375" style="17" customWidth="1"/>
    <col min="771" max="771" width="22.8515625" style="17" customWidth="1"/>
    <col min="772" max="772" width="10.140625" style="17" customWidth="1"/>
    <col min="773" max="773" width="14.00390625" style="17" customWidth="1"/>
    <col min="774" max="774" width="22.8515625" style="17" customWidth="1"/>
    <col min="775" max="775" width="9.140625" style="17" customWidth="1"/>
    <col min="776" max="776" width="12.7109375" style="17" customWidth="1"/>
    <col min="777" max="777" width="22.8515625" style="17" customWidth="1"/>
    <col min="778" max="1024" width="11.57421875" style="17" customWidth="1"/>
    <col min="1025" max="1025" width="9.140625" style="17" customWidth="1"/>
    <col min="1026" max="1026" width="12.7109375" style="17" customWidth="1"/>
    <col min="1027" max="1027" width="22.8515625" style="17" customWidth="1"/>
    <col min="1028" max="1028" width="10.140625" style="17" customWidth="1"/>
    <col min="1029" max="1029" width="14.00390625" style="17" customWidth="1"/>
    <col min="1030" max="1030" width="22.8515625" style="17" customWidth="1"/>
    <col min="1031" max="1031" width="9.140625" style="17" customWidth="1"/>
    <col min="1032" max="1032" width="12.7109375" style="17" customWidth="1"/>
    <col min="1033" max="1033" width="22.8515625" style="17" customWidth="1"/>
    <col min="1034" max="1280" width="11.57421875" style="17" customWidth="1"/>
    <col min="1281" max="1281" width="9.140625" style="17" customWidth="1"/>
    <col min="1282" max="1282" width="12.7109375" style="17" customWidth="1"/>
    <col min="1283" max="1283" width="22.8515625" style="17" customWidth="1"/>
    <col min="1284" max="1284" width="10.140625" style="17" customWidth="1"/>
    <col min="1285" max="1285" width="14.00390625" style="17" customWidth="1"/>
    <col min="1286" max="1286" width="22.8515625" style="17" customWidth="1"/>
    <col min="1287" max="1287" width="9.140625" style="17" customWidth="1"/>
    <col min="1288" max="1288" width="12.7109375" style="17" customWidth="1"/>
    <col min="1289" max="1289" width="22.8515625" style="17" customWidth="1"/>
    <col min="1290" max="1536" width="11.57421875" style="17" customWidth="1"/>
    <col min="1537" max="1537" width="9.140625" style="17" customWidth="1"/>
    <col min="1538" max="1538" width="12.7109375" style="17" customWidth="1"/>
    <col min="1539" max="1539" width="22.8515625" style="17" customWidth="1"/>
    <col min="1540" max="1540" width="10.140625" style="17" customWidth="1"/>
    <col min="1541" max="1541" width="14.00390625" style="17" customWidth="1"/>
    <col min="1542" max="1542" width="22.8515625" style="17" customWidth="1"/>
    <col min="1543" max="1543" width="9.140625" style="17" customWidth="1"/>
    <col min="1544" max="1544" width="12.7109375" style="17" customWidth="1"/>
    <col min="1545" max="1545" width="22.8515625" style="17" customWidth="1"/>
    <col min="1546" max="1792" width="11.57421875" style="17" customWidth="1"/>
    <col min="1793" max="1793" width="9.140625" style="17" customWidth="1"/>
    <col min="1794" max="1794" width="12.7109375" style="17" customWidth="1"/>
    <col min="1795" max="1795" width="22.8515625" style="17" customWidth="1"/>
    <col min="1796" max="1796" width="10.140625" style="17" customWidth="1"/>
    <col min="1797" max="1797" width="14.00390625" style="17" customWidth="1"/>
    <col min="1798" max="1798" width="22.8515625" style="17" customWidth="1"/>
    <col min="1799" max="1799" width="9.140625" style="17" customWidth="1"/>
    <col min="1800" max="1800" width="12.7109375" style="17" customWidth="1"/>
    <col min="1801" max="1801" width="22.8515625" style="17" customWidth="1"/>
    <col min="1802" max="2048" width="11.57421875" style="17" customWidth="1"/>
    <col min="2049" max="2049" width="9.140625" style="17" customWidth="1"/>
    <col min="2050" max="2050" width="12.7109375" style="17" customWidth="1"/>
    <col min="2051" max="2051" width="22.8515625" style="17" customWidth="1"/>
    <col min="2052" max="2052" width="10.140625" style="17" customWidth="1"/>
    <col min="2053" max="2053" width="14.00390625" style="17" customWidth="1"/>
    <col min="2054" max="2054" width="22.8515625" style="17" customWidth="1"/>
    <col min="2055" max="2055" width="9.140625" style="17" customWidth="1"/>
    <col min="2056" max="2056" width="12.7109375" style="17" customWidth="1"/>
    <col min="2057" max="2057" width="22.8515625" style="17" customWidth="1"/>
    <col min="2058" max="2304" width="11.57421875" style="17" customWidth="1"/>
    <col min="2305" max="2305" width="9.140625" style="17" customWidth="1"/>
    <col min="2306" max="2306" width="12.7109375" style="17" customWidth="1"/>
    <col min="2307" max="2307" width="22.8515625" style="17" customWidth="1"/>
    <col min="2308" max="2308" width="10.140625" style="17" customWidth="1"/>
    <col min="2309" max="2309" width="14.00390625" style="17" customWidth="1"/>
    <col min="2310" max="2310" width="22.8515625" style="17" customWidth="1"/>
    <col min="2311" max="2311" width="9.140625" style="17" customWidth="1"/>
    <col min="2312" max="2312" width="12.7109375" style="17" customWidth="1"/>
    <col min="2313" max="2313" width="22.8515625" style="17" customWidth="1"/>
    <col min="2314" max="2560" width="11.57421875" style="17" customWidth="1"/>
    <col min="2561" max="2561" width="9.140625" style="17" customWidth="1"/>
    <col min="2562" max="2562" width="12.7109375" style="17" customWidth="1"/>
    <col min="2563" max="2563" width="22.8515625" style="17" customWidth="1"/>
    <col min="2564" max="2564" width="10.140625" style="17" customWidth="1"/>
    <col min="2565" max="2565" width="14.00390625" style="17" customWidth="1"/>
    <col min="2566" max="2566" width="22.8515625" style="17" customWidth="1"/>
    <col min="2567" max="2567" width="9.140625" style="17" customWidth="1"/>
    <col min="2568" max="2568" width="12.7109375" style="17" customWidth="1"/>
    <col min="2569" max="2569" width="22.8515625" style="17" customWidth="1"/>
    <col min="2570" max="2816" width="11.57421875" style="17" customWidth="1"/>
    <col min="2817" max="2817" width="9.140625" style="17" customWidth="1"/>
    <col min="2818" max="2818" width="12.7109375" style="17" customWidth="1"/>
    <col min="2819" max="2819" width="22.8515625" style="17" customWidth="1"/>
    <col min="2820" max="2820" width="10.140625" style="17" customWidth="1"/>
    <col min="2821" max="2821" width="14.00390625" style="17" customWidth="1"/>
    <col min="2822" max="2822" width="22.8515625" style="17" customWidth="1"/>
    <col min="2823" max="2823" width="9.140625" style="17" customWidth="1"/>
    <col min="2824" max="2824" width="12.7109375" style="17" customWidth="1"/>
    <col min="2825" max="2825" width="22.8515625" style="17" customWidth="1"/>
    <col min="2826" max="3072" width="11.57421875" style="17" customWidth="1"/>
    <col min="3073" max="3073" width="9.140625" style="17" customWidth="1"/>
    <col min="3074" max="3074" width="12.7109375" style="17" customWidth="1"/>
    <col min="3075" max="3075" width="22.8515625" style="17" customWidth="1"/>
    <col min="3076" max="3076" width="10.140625" style="17" customWidth="1"/>
    <col min="3077" max="3077" width="14.00390625" style="17" customWidth="1"/>
    <col min="3078" max="3078" width="22.8515625" style="17" customWidth="1"/>
    <col min="3079" max="3079" width="9.140625" style="17" customWidth="1"/>
    <col min="3080" max="3080" width="12.7109375" style="17" customWidth="1"/>
    <col min="3081" max="3081" width="22.8515625" style="17" customWidth="1"/>
    <col min="3082" max="3328" width="11.57421875" style="17" customWidth="1"/>
    <col min="3329" max="3329" width="9.140625" style="17" customWidth="1"/>
    <col min="3330" max="3330" width="12.7109375" style="17" customWidth="1"/>
    <col min="3331" max="3331" width="22.8515625" style="17" customWidth="1"/>
    <col min="3332" max="3332" width="10.140625" style="17" customWidth="1"/>
    <col min="3333" max="3333" width="14.00390625" style="17" customWidth="1"/>
    <col min="3334" max="3334" width="22.8515625" style="17" customWidth="1"/>
    <col min="3335" max="3335" width="9.140625" style="17" customWidth="1"/>
    <col min="3336" max="3336" width="12.7109375" style="17" customWidth="1"/>
    <col min="3337" max="3337" width="22.8515625" style="17" customWidth="1"/>
    <col min="3338" max="3584" width="11.57421875" style="17" customWidth="1"/>
    <col min="3585" max="3585" width="9.140625" style="17" customWidth="1"/>
    <col min="3586" max="3586" width="12.7109375" style="17" customWidth="1"/>
    <col min="3587" max="3587" width="22.8515625" style="17" customWidth="1"/>
    <col min="3588" max="3588" width="10.140625" style="17" customWidth="1"/>
    <col min="3589" max="3589" width="14.00390625" style="17" customWidth="1"/>
    <col min="3590" max="3590" width="22.8515625" style="17" customWidth="1"/>
    <col min="3591" max="3591" width="9.140625" style="17" customWidth="1"/>
    <col min="3592" max="3592" width="12.7109375" style="17" customWidth="1"/>
    <col min="3593" max="3593" width="22.8515625" style="17" customWidth="1"/>
    <col min="3594" max="3840" width="11.57421875" style="17" customWidth="1"/>
    <col min="3841" max="3841" width="9.140625" style="17" customWidth="1"/>
    <col min="3842" max="3842" width="12.7109375" style="17" customWidth="1"/>
    <col min="3843" max="3843" width="22.8515625" style="17" customWidth="1"/>
    <col min="3844" max="3844" width="10.140625" style="17" customWidth="1"/>
    <col min="3845" max="3845" width="14.00390625" style="17" customWidth="1"/>
    <col min="3846" max="3846" width="22.8515625" style="17" customWidth="1"/>
    <col min="3847" max="3847" width="9.140625" style="17" customWidth="1"/>
    <col min="3848" max="3848" width="12.7109375" style="17" customWidth="1"/>
    <col min="3849" max="3849" width="22.8515625" style="17" customWidth="1"/>
    <col min="3850" max="4096" width="11.57421875" style="17" customWidth="1"/>
    <col min="4097" max="4097" width="9.140625" style="17" customWidth="1"/>
    <col min="4098" max="4098" width="12.7109375" style="17" customWidth="1"/>
    <col min="4099" max="4099" width="22.8515625" style="17" customWidth="1"/>
    <col min="4100" max="4100" width="10.140625" style="17" customWidth="1"/>
    <col min="4101" max="4101" width="14.00390625" style="17" customWidth="1"/>
    <col min="4102" max="4102" width="22.8515625" style="17" customWidth="1"/>
    <col min="4103" max="4103" width="9.140625" style="17" customWidth="1"/>
    <col min="4104" max="4104" width="12.7109375" style="17" customWidth="1"/>
    <col min="4105" max="4105" width="22.8515625" style="17" customWidth="1"/>
    <col min="4106" max="4352" width="11.57421875" style="17" customWidth="1"/>
    <col min="4353" max="4353" width="9.140625" style="17" customWidth="1"/>
    <col min="4354" max="4354" width="12.7109375" style="17" customWidth="1"/>
    <col min="4355" max="4355" width="22.8515625" style="17" customWidth="1"/>
    <col min="4356" max="4356" width="10.140625" style="17" customWidth="1"/>
    <col min="4357" max="4357" width="14.00390625" style="17" customWidth="1"/>
    <col min="4358" max="4358" width="22.8515625" style="17" customWidth="1"/>
    <col min="4359" max="4359" width="9.140625" style="17" customWidth="1"/>
    <col min="4360" max="4360" width="12.7109375" style="17" customWidth="1"/>
    <col min="4361" max="4361" width="22.8515625" style="17" customWidth="1"/>
    <col min="4362" max="4608" width="11.57421875" style="17" customWidth="1"/>
    <col min="4609" max="4609" width="9.140625" style="17" customWidth="1"/>
    <col min="4610" max="4610" width="12.7109375" style="17" customWidth="1"/>
    <col min="4611" max="4611" width="22.8515625" style="17" customWidth="1"/>
    <col min="4612" max="4612" width="10.140625" style="17" customWidth="1"/>
    <col min="4613" max="4613" width="14.00390625" style="17" customWidth="1"/>
    <col min="4614" max="4614" width="22.8515625" style="17" customWidth="1"/>
    <col min="4615" max="4615" width="9.140625" style="17" customWidth="1"/>
    <col min="4616" max="4616" width="12.7109375" style="17" customWidth="1"/>
    <col min="4617" max="4617" width="22.8515625" style="17" customWidth="1"/>
    <col min="4618" max="4864" width="11.57421875" style="17" customWidth="1"/>
    <col min="4865" max="4865" width="9.140625" style="17" customWidth="1"/>
    <col min="4866" max="4866" width="12.7109375" style="17" customWidth="1"/>
    <col min="4867" max="4867" width="22.8515625" style="17" customWidth="1"/>
    <col min="4868" max="4868" width="10.140625" style="17" customWidth="1"/>
    <col min="4869" max="4869" width="14.00390625" style="17" customWidth="1"/>
    <col min="4870" max="4870" width="22.8515625" style="17" customWidth="1"/>
    <col min="4871" max="4871" width="9.140625" style="17" customWidth="1"/>
    <col min="4872" max="4872" width="12.7109375" style="17" customWidth="1"/>
    <col min="4873" max="4873" width="22.8515625" style="17" customWidth="1"/>
    <col min="4874" max="5120" width="11.57421875" style="17" customWidth="1"/>
    <col min="5121" max="5121" width="9.140625" style="17" customWidth="1"/>
    <col min="5122" max="5122" width="12.7109375" style="17" customWidth="1"/>
    <col min="5123" max="5123" width="22.8515625" style="17" customWidth="1"/>
    <col min="5124" max="5124" width="10.140625" style="17" customWidth="1"/>
    <col min="5125" max="5125" width="14.00390625" style="17" customWidth="1"/>
    <col min="5126" max="5126" width="22.8515625" style="17" customWidth="1"/>
    <col min="5127" max="5127" width="9.140625" style="17" customWidth="1"/>
    <col min="5128" max="5128" width="12.7109375" style="17" customWidth="1"/>
    <col min="5129" max="5129" width="22.8515625" style="17" customWidth="1"/>
    <col min="5130" max="5376" width="11.57421875" style="17" customWidth="1"/>
    <col min="5377" max="5377" width="9.140625" style="17" customWidth="1"/>
    <col min="5378" max="5378" width="12.7109375" style="17" customWidth="1"/>
    <col min="5379" max="5379" width="22.8515625" style="17" customWidth="1"/>
    <col min="5380" max="5380" width="10.140625" style="17" customWidth="1"/>
    <col min="5381" max="5381" width="14.00390625" style="17" customWidth="1"/>
    <col min="5382" max="5382" width="22.8515625" style="17" customWidth="1"/>
    <col min="5383" max="5383" width="9.140625" style="17" customWidth="1"/>
    <col min="5384" max="5384" width="12.7109375" style="17" customWidth="1"/>
    <col min="5385" max="5385" width="22.8515625" style="17" customWidth="1"/>
    <col min="5386" max="5632" width="11.57421875" style="17" customWidth="1"/>
    <col min="5633" max="5633" width="9.140625" style="17" customWidth="1"/>
    <col min="5634" max="5634" width="12.7109375" style="17" customWidth="1"/>
    <col min="5635" max="5635" width="22.8515625" style="17" customWidth="1"/>
    <col min="5636" max="5636" width="10.140625" style="17" customWidth="1"/>
    <col min="5637" max="5637" width="14.00390625" style="17" customWidth="1"/>
    <col min="5638" max="5638" width="22.8515625" style="17" customWidth="1"/>
    <col min="5639" max="5639" width="9.140625" style="17" customWidth="1"/>
    <col min="5640" max="5640" width="12.7109375" style="17" customWidth="1"/>
    <col min="5641" max="5641" width="22.8515625" style="17" customWidth="1"/>
    <col min="5642" max="5888" width="11.57421875" style="17" customWidth="1"/>
    <col min="5889" max="5889" width="9.140625" style="17" customWidth="1"/>
    <col min="5890" max="5890" width="12.7109375" style="17" customWidth="1"/>
    <col min="5891" max="5891" width="22.8515625" style="17" customWidth="1"/>
    <col min="5892" max="5892" width="10.140625" style="17" customWidth="1"/>
    <col min="5893" max="5893" width="14.00390625" style="17" customWidth="1"/>
    <col min="5894" max="5894" width="22.8515625" style="17" customWidth="1"/>
    <col min="5895" max="5895" width="9.140625" style="17" customWidth="1"/>
    <col min="5896" max="5896" width="12.7109375" style="17" customWidth="1"/>
    <col min="5897" max="5897" width="22.8515625" style="17" customWidth="1"/>
    <col min="5898" max="6144" width="11.57421875" style="17" customWidth="1"/>
    <col min="6145" max="6145" width="9.140625" style="17" customWidth="1"/>
    <col min="6146" max="6146" width="12.7109375" style="17" customWidth="1"/>
    <col min="6147" max="6147" width="22.8515625" style="17" customWidth="1"/>
    <col min="6148" max="6148" width="10.140625" style="17" customWidth="1"/>
    <col min="6149" max="6149" width="14.00390625" style="17" customWidth="1"/>
    <col min="6150" max="6150" width="22.8515625" style="17" customWidth="1"/>
    <col min="6151" max="6151" width="9.140625" style="17" customWidth="1"/>
    <col min="6152" max="6152" width="12.7109375" style="17" customWidth="1"/>
    <col min="6153" max="6153" width="22.8515625" style="17" customWidth="1"/>
    <col min="6154" max="6400" width="11.57421875" style="17" customWidth="1"/>
    <col min="6401" max="6401" width="9.140625" style="17" customWidth="1"/>
    <col min="6402" max="6402" width="12.7109375" style="17" customWidth="1"/>
    <col min="6403" max="6403" width="22.8515625" style="17" customWidth="1"/>
    <col min="6404" max="6404" width="10.140625" style="17" customWidth="1"/>
    <col min="6405" max="6405" width="14.00390625" style="17" customWidth="1"/>
    <col min="6406" max="6406" width="22.8515625" style="17" customWidth="1"/>
    <col min="6407" max="6407" width="9.140625" style="17" customWidth="1"/>
    <col min="6408" max="6408" width="12.7109375" style="17" customWidth="1"/>
    <col min="6409" max="6409" width="22.8515625" style="17" customWidth="1"/>
    <col min="6410" max="6656" width="11.57421875" style="17" customWidth="1"/>
    <col min="6657" max="6657" width="9.140625" style="17" customWidth="1"/>
    <col min="6658" max="6658" width="12.7109375" style="17" customWidth="1"/>
    <col min="6659" max="6659" width="22.8515625" style="17" customWidth="1"/>
    <col min="6660" max="6660" width="10.140625" style="17" customWidth="1"/>
    <col min="6661" max="6661" width="14.00390625" style="17" customWidth="1"/>
    <col min="6662" max="6662" width="22.8515625" style="17" customWidth="1"/>
    <col min="6663" max="6663" width="9.140625" style="17" customWidth="1"/>
    <col min="6664" max="6664" width="12.7109375" style="17" customWidth="1"/>
    <col min="6665" max="6665" width="22.8515625" style="17" customWidth="1"/>
    <col min="6666" max="6912" width="11.57421875" style="17" customWidth="1"/>
    <col min="6913" max="6913" width="9.140625" style="17" customWidth="1"/>
    <col min="6914" max="6914" width="12.7109375" style="17" customWidth="1"/>
    <col min="6915" max="6915" width="22.8515625" style="17" customWidth="1"/>
    <col min="6916" max="6916" width="10.140625" style="17" customWidth="1"/>
    <col min="6917" max="6917" width="14.00390625" style="17" customWidth="1"/>
    <col min="6918" max="6918" width="22.8515625" style="17" customWidth="1"/>
    <col min="6919" max="6919" width="9.140625" style="17" customWidth="1"/>
    <col min="6920" max="6920" width="12.7109375" style="17" customWidth="1"/>
    <col min="6921" max="6921" width="22.8515625" style="17" customWidth="1"/>
    <col min="6922" max="7168" width="11.57421875" style="17" customWidth="1"/>
    <col min="7169" max="7169" width="9.140625" style="17" customWidth="1"/>
    <col min="7170" max="7170" width="12.7109375" style="17" customWidth="1"/>
    <col min="7171" max="7171" width="22.8515625" style="17" customWidth="1"/>
    <col min="7172" max="7172" width="10.140625" style="17" customWidth="1"/>
    <col min="7173" max="7173" width="14.00390625" style="17" customWidth="1"/>
    <col min="7174" max="7174" width="22.8515625" style="17" customWidth="1"/>
    <col min="7175" max="7175" width="9.140625" style="17" customWidth="1"/>
    <col min="7176" max="7176" width="12.7109375" style="17" customWidth="1"/>
    <col min="7177" max="7177" width="22.8515625" style="17" customWidth="1"/>
    <col min="7178" max="7424" width="11.57421875" style="17" customWidth="1"/>
    <col min="7425" max="7425" width="9.140625" style="17" customWidth="1"/>
    <col min="7426" max="7426" width="12.7109375" style="17" customWidth="1"/>
    <col min="7427" max="7427" width="22.8515625" style="17" customWidth="1"/>
    <col min="7428" max="7428" width="10.140625" style="17" customWidth="1"/>
    <col min="7429" max="7429" width="14.00390625" style="17" customWidth="1"/>
    <col min="7430" max="7430" width="22.8515625" style="17" customWidth="1"/>
    <col min="7431" max="7431" width="9.140625" style="17" customWidth="1"/>
    <col min="7432" max="7432" width="12.7109375" style="17" customWidth="1"/>
    <col min="7433" max="7433" width="22.8515625" style="17" customWidth="1"/>
    <col min="7434" max="7680" width="11.57421875" style="17" customWidth="1"/>
    <col min="7681" max="7681" width="9.140625" style="17" customWidth="1"/>
    <col min="7682" max="7682" width="12.7109375" style="17" customWidth="1"/>
    <col min="7683" max="7683" width="22.8515625" style="17" customWidth="1"/>
    <col min="7684" max="7684" width="10.140625" style="17" customWidth="1"/>
    <col min="7685" max="7685" width="14.00390625" style="17" customWidth="1"/>
    <col min="7686" max="7686" width="22.8515625" style="17" customWidth="1"/>
    <col min="7687" max="7687" width="9.140625" style="17" customWidth="1"/>
    <col min="7688" max="7688" width="12.7109375" style="17" customWidth="1"/>
    <col min="7689" max="7689" width="22.8515625" style="17" customWidth="1"/>
    <col min="7690" max="7936" width="11.57421875" style="17" customWidth="1"/>
    <col min="7937" max="7937" width="9.140625" style="17" customWidth="1"/>
    <col min="7938" max="7938" width="12.7109375" style="17" customWidth="1"/>
    <col min="7939" max="7939" width="22.8515625" style="17" customWidth="1"/>
    <col min="7940" max="7940" width="10.140625" style="17" customWidth="1"/>
    <col min="7941" max="7941" width="14.00390625" style="17" customWidth="1"/>
    <col min="7942" max="7942" width="22.8515625" style="17" customWidth="1"/>
    <col min="7943" max="7943" width="9.140625" style="17" customWidth="1"/>
    <col min="7944" max="7944" width="12.7109375" style="17" customWidth="1"/>
    <col min="7945" max="7945" width="22.8515625" style="17" customWidth="1"/>
    <col min="7946" max="8192" width="11.57421875" style="17" customWidth="1"/>
    <col min="8193" max="8193" width="9.140625" style="17" customWidth="1"/>
    <col min="8194" max="8194" width="12.7109375" style="17" customWidth="1"/>
    <col min="8195" max="8195" width="22.8515625" style="17" customWidth="1"/>
    <col min="8196" max="8196" width="10.140625" style="17" customWidth="1"/>
    <col min="8197" max="8197" width="14.00390625" style="17" customWidth="1"/>
    <col min="8198" max="8198" width="22.8515625" style="17" customWidth="1"/>
    <col min="8199" max="8199" width="9.140625" style="17" customWidth="1"/>
    <col min="8200" max="8200" width="12.7109375" style="17" customWidth="1"/>
    <col min="8201" max="8201" width="22.8515625" style="17" customWidth="1"/>
    <col min="8202" max="8448" width="11.57421875" style="17" customWidth="1"/>
    <col min="8449" max="8449" width="9.140625" style="17" customWidth="1"/>
    <col min="8450" max="8450" width="12.7109375" style="17" customWidth="1"/>
    <col min="8451" max="8451" width="22.8515625" style="17" customWidth="1"/>
    <col min="8452" max="8452" width="10.140625" style="17" customWidth="1"/>
    <col min="8453" max="8453" width="14.00390625" style="17" customWidth="1"/>
    <col min="8454" max="8454" width="22.8515625" style="17" customWidth="1"/>
    <col min="8455" max="8455" width="9.140625" style="17" customWidth="1"/>
    <col min="8456" max="8456" width="12.7109375" style="17" customWidth="1"/>
    <col min="8457" max="8457" width="22.8515625" style="17" customWidth="1"/>
    <col min="8458" max="8704" width="11.57421875" style="17" customWidth="1"/>
    <col min="8705" max="8705" width="9.140625" style="17" customWidth="1"/>
    <col min="8706" max="8706" width="12.7109375" style="17" customWidth="1"/>
    <col min="8707" max="8707" width="22.8515625" style="17" customWidth="1"/>
    <col min="8708" max="8708" width="10.140625" style="17" customWidth="1"/>
    <col min="8709" max="8709" width="14.00390625" style="17" customWidth="1"/>
    <col min="8710" max="8710" width="22.8515625" style="17" customWidth="1"/>
    <col min="8711" max="8711" width="9.140625" style="17" customWidth="1"/>
    <col min="8712" max="8712" width="12.7109375" style="17" customWidth="1"/>
    <col min="8713" max="8713" width="22.8515625" style="17" customWidth="1"/>
    <col min="8714" max="8960" width="11.57421875" style="17" customWidth="1"/>
    <col min="8961" max="8961" width="9.140625" style="17" customWidth="1"/>
    <col min="8962" max="8962" width="12.7109375" style="17" customWidth="1"/>
    <col min="8963" max="8963" width="22.8515625" style="17" customWidth="1"/>
    <col min="8964" max="8964" width="10.140625" style="17" customWidth="1"/>
    <col min="8965" max="8965" width="14.00390625" style="17" customWidth="1"/>
    <col min="8966" max="8966" width="22.8515625" style="17" customWidth="1"/>
    <col min="8967" max="8967" width="9.140625" style="17" customWidth="1"/>
    <col min="8968" max="8968" width="12.7109375" style="17" customWidth="1"/>
    <col min="8969" max="8969" width="22.8515625" style="17" customWidth="1"/>
    <col min="8970" max="9216" width="11.57421875" style="17" customWidth="1"/>
    <col min="9217" max="9217" width="9.140625" style="17" customWidth="1"/>
    <col min="9218" max="9218" width="12.7109375" style="17" customWidth="1"/>
    <col min="9219" max="9219" width="22.8515625" style="17" customWidth="1"/>
    <col min="9220" max="9220" width="10.140625" style="17" customWidth="1"/>
    <col min="9221" max="9221" width="14.00390625" style="17" customWidth="1"/>
    <col min="9222" max="9222" width="22.8515625" style="17" customWidth="1"/>
    <col min="9223" max="9223" width="9.140625" style="17" customWidth="1"/>
    <col min="9224" max="9224" width="12.7109375" style="17" customWidth="1"/>
    <col min="9225" max="9225" width="22.8515625" style="17" customWidth="1"/>
    <col min="9226" max="9472" width="11.57421875" style="17" customWidth="1"/>
    <col min="9473" max="9473" width="9.140625" style="17" customWidth="1"/>
    <col min="9474" max="9474" width="12.7109375" style="17" customWidth="1"/>
    <col min="9475" max="9475" width="22.8515625" style="17" customWidth="1"/>
    <col min="9476" max="9476" width="10.140625" style="17" customWidth="1"/>
    <col min="9477" max="9477" width="14.00390625" style="17" customWidth="1"/>
    <col min="9478" max="9478" width="22.8515625" style="17" customWidth="1"/>
    <col min="9479" max="9479" width="9.140625" style="17" customWidth="1"/>
    <col min="9480" max="9480" width="12.7109375" style="17" customWidth="1"/>
    <col min="9481" max="9481" width="22.8515625" style="17" customWidth="1"/>
    <col min="9482" max="9728" width="11.57421875" style="17" customWidth="1"/>
    <col min="9729" max="9729" width="9.140625" style="17" customWidth="1"/>
    <col min="9730" max="9730" width="12.7109375" style="17" customWidth="1"/>
    <col min="9731" max="9731" width="22.8515625" style="17" customWidth="1"/>
    <col min="9732" max="9732" width="10.140625" style="17" customWidth="1"/>
    <col min="9733" max="9733" width="14.00390625" style="17" customWidth="1"/>
    <col min="9734" max="9734" width="22.8515625" style="17" customWidth="1"/>
    <col min="9735" max="9735" width="9.140625" style="17" customWidth="1"/>
    <col min="9736" max="9736" width="12.7109375" style="17" customWidth="1"/>
    <col min="9737" max="9737" width="22.8515625" style="17" customWidth="1"/>
    <col min="9738" max="9984" width="11.57421875" style="17" customWidth="1"/>
    <col min="9985" max="9985" width="9.140625" style="17" customWidth="1"/>
    <col min="9986" max="9986" width="12.7109375" style="17" customWidth="1"/>
    <col min="9987" max="9987" width="22.8515625" style="17" customWidth="1"/>
    <col min="9988" max="9988" width="10.140625" style="17" customWidth="1"/>
    <col min="9989" max="9989" width="14.00390625" style="17" customWidth="1"/>
    <col min="9990" max="9990" width="22.8515625" style="17" customWidth="1"/>
    <col min="9991" max="9991" width="9.140625" style="17" customWidth="1"/>
    <col min="9992" max="9992" width="12.7109375" style="17" customWidth="1"/>
    <col min="9993" max="9993" width="22.8515625" style="17" customWidth="1"/>
    <col min="9994" max="10240" width="11.57421875" style="17" customWidth="1"/>
    <col min="10241" max="10241" width="9.140625" style="17" customWidth="1"/>
    <col min="10242" max="10242" width="12.7109375" style="17" customWidth="1"/>
    <col min="10243" max="10243" width="22.8515625" style="17" customWidth="1"/>
    <col min="10244" max="10244" width="10.140625" style="17" customWidth="1"/>
    <col min="10245" max="10245" width="14.00390625" style="17" customWidth="1"/>
    <col min="10246" max="10246" width="22.8515625" style="17" customWidth="1"/>
    <col min="10247" max="10247" width="9.140625" style="17" customWidth="1"/>
    <col min="10248" max="10248" width="12.7109375" style="17" customWidth="1"/>
    <col min="10249" max="10249" width="22.8515625" style="17" customWidth="1"/>
    <col min="10250" max="10496" width="11.57421875" style="17" customWidth="1"/>
    <col min="10497" max="10497" width="9.140625" style="17" customWidth="1"/>
    <col min="10498" max="10498" width="12.7109375" style="17" customWidth="1"/>
    <col min="10499" max="10499" width="22.8515625" style="17" customWidth="1"/>
    <col min="10500" max="10500" width="10.140625" style="17" customWidth="1"/>
    <col min="10501" max="10501" width="14.00390625" style="17" customWidth="1"/>
    <col min="10502" max="10502" width="22.8515625" style="17" customWidth="1"/>
    <col min="10503" max="10503" width="9.140625" style="17" customWidth="1"/>
    <col min="10504" max="10504" width="12.7109375" style="17" customWidth="1"/>
    <col min="10505" max="10505" width="22.8515625" style="17" customWidth="1"/>
    <col min="10506" max="10752" width="11.57421875" style="17" customWidth="1"/>
    <col min="10753" max="10753" width="9.140625" style="17" customWidth="1"/>
    <col min="10754" max="10754" width="12.7109375" style="17" customWidth="1"/>
    <col min="10755" max="10755" width="22.8515625" style="17" customWidth="1"/>
    <col min="10756" max="10756" width="10.140625" style="17" customWidth="1"/>
    <col min="10757" max="10757" width="14.00390625" style="17" customWidth="1"/>
    <col min="10758" max="10758" width="22.8515625" style="17" customWidth="1"/>
    <col min="10759" max="10759" width="9.140625" style="17" customWidth="1"/>
    <col min="10760" max="10760" width="12.7109375" style="17" customWidth="1"/>
    <col min="10761" max="10761" width="22.8515625" style="17" customWidth="1"/>
    <col min="10762" max="11008" width="11.57421875" style="17" customWidth="1"/>
    <col min="11009" max="11009" width="9.140625" style="17" customWidth="1"/>
    <col min="11010" max="11010" width="12.7109375" style="17" customWidth="1"/>
    <col min="11011" max="11011" width="22.8515625" style="17" customWidth="1"/>
    <col min="11012" max="11012" width="10.140625" style="17" customWidth="1"/>
    <col min="11013" max="11013" width="14.00390625" style="17" customWidth="1"/>
    <col min="11014" max="11014" width="22.8515625" style="17" customWidth="1"/>
    <col min="11015" max="11015" width="9.140625" style="17" customWidth="1"/>
    <col min="11016" max="11016" width="12.7109375" style="17" customWidth="1"/>
    <col min="11017" max="11017" width="22.8515625" style="17" customWidth="1"/>
    <col min="11018" max="11264" width="11.57421875" style="17" customWidth="1"/>
    <col min="11265" max="11265" width="9.140625" style="17" customWidth="1"/>
    <col min="11266" max="11266" width="12.7109375" style="17" customWidth="1"/>
    <col min="11267" max="11267" width="22.8515625" style="17" customWidth="1"/>
    <col min="11268" max="11268" width="10.140625" style="17" customWidth="1"/>
    <col min="11269" max="11269" width="14.00390625" style="17" customWidth="1"/>
    <col min="11270" max="11270" width="22.8515625" style="17" customWidth="1"/>
    <col min="11271" max="11271" width="9.140625" style="17" customWidth="1"/>
    <col min="11272" max="11272" width="12.7109375" style="17" customWidth="1"/>
    <col min="11273" max="11273" width="22.8515625" style="17" customWidth="1"/>
    <col min="11274" max="11520" width="11.57421875" style="17" customWidth="1"/>
    <col min="11521" max="11521" width="9.140625" style="17" customWidth="1"/>
    <col min="11522" max="11522" width="12.7109375" style="17" customWidth="1"/>
    <col min="11523" max="11523" width="22.8515625" style="17" customWidth="1"/>
    <col min="11524" max="11524" width="10.140625" style="17" customWidth="1"/>
    <col min="11525" max="11525" width="14.00390625" style="17" customWidth="1"/>
    <col min="11526" max="11526" width="22.8515625" style="17" customWidth="1"/>
    <col min="11527" max="11527" width="9.140625" style="17" customWidth="1"/>
    <col min="11528" max="11528" width="12.7109375" style="17" customWidth="1"/>
    <col min="11529" max="11529" width="22.8515625" style="17" customWidth="1"/>
    <col min="11530" max="11776" width="11.57421875" style="17" customWidth="1"/>
    <col min="11777" max="11777" width="9.140625" style="17" customWidth="1"/>
    <col min="11778" max="11778" width="12.7109375" style="17" customWidth="1"/>
    <col min="11779" max="11779" width="22.8515625" style="17" customWidth="1"/>
    <col min="11780" max="11780" width="10.140625" style="17" customWidth="1"/>
    <col min="11781" max="11781" width="14.00390625" style="17" customWidth="1"/>
    <col min="11782" max="11782" width="22.8515625" style="17" customWidth="1"/>
    <col min="11783" max="11783" width="9.140625" style="17" customWidth="1"/>
    <col min="11784" max="11784" width="12.7109375" style="17" customWidth="1"/>
    <col min="11785" max="11785" width="22.8515625" style="17" customWidth="1"/>
    <col min="11786" max="12032" width="11.57421875" style="17" customWidth="1"/>
    <col min="12033" max="12033" width="9.140625" style="17" customWidth="1"/>
    <col min="12034" max="12034" width="12.7109375" style="17" customWidth="1"/>
    <col min="12035" max="12035" width="22.8515625" style="17" customWidth="1"/>
    <col min="12036" max="12036" width="10.140625" style="17" customWidth="1"/>
    <col min="12037" max="12037" width="14.00390625" style="17" customWidth="1"/>
    <col min="12038" max="12038" width="22.8515625" style="17" customWidth="1"/>
    <col min="12039" max="12039" width="9.140625" style="17" customWidth="1"/>
    <col min="12040" max="12040" width="12.7109375" style="17" customWidth="1"/>
    <col min="12041" max="12041" width="22.8515625" style="17" customWidth="1"/>
    <col min="12042" max="12288" width="11.57421875" style="17" customWidth="1"/>
    <col min="12289" max="12289" width="9.140625" style="17" customWidth="1"/>
    <col min="12290" max="12290" width="12.7109375" style="17" customWidth="1"/>
    <col min="12291" max="12291" width="22.8515625" style="17" customWidth="1"/>
    <col min="12292" max="12292" width="10.140625" style="17" customWidth="1"/>
    <col min="12293" max="12293" width="14.00390625" style="17" customWidth="1"/>
    <col min="12294" max="12294" width="22.8515625" style="17" customWidth="1"/>
    <col min="12295" max="12295" width="9.140625" style="17" customWidth="1"/>
    <col min="12296" max="12296" width="12.7109375" style="17" customWidth="1"/>
    <col min="12297" max="12297" width="22.8515625" style="17" customWidth="1"/>
    <col min="12298" max="12544" width="11.57421875" style="17" customWidth="1"/>
    <col min="12545" max="12545" width="9.140625" style="17" customWidth="1"/>
    <col min="12546" max="12546" width="12.7109375" style="17" customWidth="1"/>
    <col min="12547" max="12547" width="22.8515625" style="17" customWidth="1"/>
    <col min="12548" max="12548" width="10.140625" style="17" customWidth="1"/>
    <col min="12549" max="12549" width="14.00390625" style="17" customWidth="1"/>
    <col min="12550" max="12550" width="22.8515625" style="17" customWidth="1"/>
    <col min="12551" max="12551" width="9.140625" style="17" customWidth="1"/>
    <col min="12552" max="12552" width="12.7109375" style="17" customWidth="1"/>
    <col min="12553" max="12553" width="22.8515625" style="17" customWidth="1"/>
    <col min="12554" max="12800" width="11.57421875" style="17" customWidth="1"/>
    <col min="12801" max="12801" width="9.140625" style="17" customWidth="1"/>
    <col min="12802" max="12802" width="12.7109375" style="17" customWidth="1"/>
    <col min="12803" max="12803" width="22.8515625" style="17" customWidth="1"/>
    <col min="12804" max="12804" width="10.140625" style="17" customWidth="1"/>
    <col min="12805" max="12805" width="14.00390625" style="17" customWidth="1"/>
    <col min="12806" max="12806" width="22.8515625" style="17" customWidth="1"/>
    <col min="12807" max="12807" width="9.140625" style="17" customWidth="1"/>
    <col min="12808" max="12808" width="12.7109375" style="17" customWidth="1"/>
    <col min="12809" max="12809" width="22.8515625" style="17" customWidth="1"/>
    <col min="12810" max="13056" width="11.57421875" style="17" customWidth="1"/>
    <col min="13057" max="13057" width="9.140625" style="17" customWidth="1"/>
    <col min="13058" max="13058" width="12.7109375" style="17" customWidth="1"/>
    <col min="13059" max="13059" width="22.8515625" style="17" customWidth="1"/>
    <col min="13060" max="13060" width="10.140625" style="17" customWidth="1"/>
    <col min="13061" max="13061" width="14.00390625" style="17" customWidth="1"/>
    <col min="13062" max="13062" width="22.8515625" style="17" customWidth="1"/>
    <col min="13063" max="13063" width="9.140625" style="17" customWidth="1"/>
    <col min="13064" max="13064" width="12.7109375" style="17" customWidth="1"/>
    <col min="13065" max="13065" width="22.8515625" style="17" customWidth="1"/>
    <col min="13066" max="13312" width="11.57421875" style="17" customWidth="1"/>
    <col min="13313" max="13313" width="9.140625" style="17" customWidth="1"/>
    <col min="13314" max="13314" width="12.7109375" style="17" customWidth="1"/>
    <col min="13315" max="13315" width="22.8515625" style="17" customWidth="1"/>
    <col min="13316" max="13316" width="10.140625" style="17" customWidth="1"/>
    <col min="13317" max="13317" width="14.00390625" style="17" customWidth="1"/>
    <col min="13318" max="13318" width="22.8515625" style="17" customWidth="1"/>
    <col min="13319" max="13319" width="9.140625" style="17" customWidth="1"/>
    <col min="13320" max="13320" width="12.7109375" style="17" customWidth="1"/>
    <col min="13321" max="13321" width="22.8515625" style="17" customWidth="1"/>
    <col min="13322" max="13568" width="11.57421875" style="17" customWidth="1"/>
    <col min="13569" max="13569" width="9.140625" style="17" customWidth="1"/>
    <col min="13570" max="13570" width="12.7109375" style="17" customWidth="1"/>
    <col min="13571" max="13571" width="22.8515625" style="17" customWidth="1"/>
    <col min="13572" max="13572" width="10.140625" style="17" customWidth="1"/>
    <col min="13573" max="13573" width="14.00390625" style="17" customWidth="1"/>
    <col min="13574" max="13574" width="22.8515625" style="17" customWidth="1"/>
    <col min="13575" max="13575" width="9.140625" style="17" customWidth="1"/>
    <col min="13576" max="13576" width="12.7109375" style="17" customWidth="1"/>
    <col min="13577" max="13577" width="22.8515625" style="17" customWidth="1"/>
    <col min="13578" max="13824" width="11.57421875" style="17" customWidth="1"/>
    <col min="13825" max="13825" width="9.140625" style="17" customWidth="1"/>
    <col min="13826" max="13826" width="12.7109375" style="17" customWidth="1"/>
    <col min="13827" max="13827" width="22.8515625" style="17" customWidth="1"/>
    <col min="13828" max="13828" width="10.140625" style="17" customWidth="1"/>
    <col min="13829" max="13829" width="14.00390625" style="17" customWidth="1"/>
    <col min="13830" max="13830" width="22.8515625" style="17" customWidth="1"/>
    <col min="13831" max="13831" width="9.140625" style="17" customWidth="1"/>
    <col min="13832" max="13832" width="12.7109375" style="17" customWidth="1"/>
    <col min="13833" max="13833" width="22.8515625" style="17" customWidth="1"/>
    <col min="13834" max="14080" width="11.57421875" style="17" customWidth="1"/>
    <col min="14081" max="14081" width="9.140625" style="17" customWidth="1"/>
    <col min="14082" max="14082" width="12.7109375" style="17" customWidth="1"/>
    <col min="14083" max="14083" width="22.8515625" style="17" customWidth="1"/>
    <col min="14084" max="14084" width="10.140625" style="17" customWidth="1"/>
    <col min="14085" max="14085" width="14.00390625" style="17" customWidth="1"/>
    <col min="14086" max="14086" width="22.8515625" style="17" customWidth="1"/>
    <col min="14087" max="14087" width="9.140625" style="17" customWidth="1"/>
    <col min="14088" max="14088" width="12.7109375" style="17" customWidth="1"/>
    <col min="14089" max="14089" width="22.8515625" style="17" customWidth="1"/>
    <col min="14090" max="14336" width="11.57421875" style="17" customWidth="1"/>
    <col min="14337" max="14337" width="9.140625" style="17" customWidth="1"/>
    <col min="14338" max="14338" width="12.7109375" style="17" customWidth="1"/>
    <col min="14339" max="14339" width="22.8515625" style="17" customWidth="1"/>
    <col min="14340" max="14340" width="10.140625" style="17" customWidth="1"/>
    <col min="14341" max="14341" width="14.00390625" style="17" customWidth="1"/>
    <col min="14342" max="14342" width="22.8515625" style="17" customWidth="1"/>
    <col min="14343" max="14343" width="9.140625" style="17" customWidth="1"/>
    <col min="14344" max="14344" width="12.7109375" style="17" customWidth="1"/>
    <col min="14345" max="14345" width="22.8515625" style="17" customWidth="1"/>
    <col min="14346" max="14592" width="11.57421875" style="17" customWidth="1"/>
    <col min="14593" max="14593" width="9.140625" style="17" customWidth="1"/>
    <col min="14594" max="14594" width="12.7109375" style="17" customWidth="1"/>
    <col min="14595" max="14595" width="22.8515625" style="17" customWidth="1"/>
    <col min="14596" max="14596" width="10.140625" style="17" customWidth="1"/>
    <col min="14597" max="14597" width="14.00390625" style="17" customWidth="1"/>
    <col min="14598" max="14598" width="22.8515625" style="17" customWidth="1"/>
    <col min="14599" max="14599" width="9.140625" style="17" customWidth="1"/>
    <col min="14600" max="14600" width="12.7109375" style="17" customWidth="1"/>
    <col min="14601" max="14601" width="22.8515625" style="17" customWidth="1"/>
    <col min="14602" max="14848" width="11.57421875" style="17" customWidth="1"/>
    <col min="14849" max="14849" width="9.140625" style="17" customWidth="1"/>
    <col min="14850" max="14850" width="12.7109375" style="17" customWidth="1"/>
    <col min="14851" max="14851" width="22.8515625" style="17" customWidth="1"/>
    <col min="14852" max="14852" width="10.140625" style="17" customWidth="1"/>
    <col min="14853" max="14853" width="14.00390625" style="17" customWidth="1"/>
    <col min="14854" max="14854" width="22.8515625" style="17" customWidth="1"/>
    <col min="14855" max="14855" width="9.140625" style="17" customWidth="1"/>
    <col min="14856" max="14856" width="12.7109375" style="17" customWidth="1"/>
    <col min="14857" max="14857" width="22.8515625" style="17" customWidth="1"/>
    <col min="14858" max="15104" width="11.57421875" style="17" customWidth="1"/>
    <col min="15105" max="15105" width="9.140625" style="17" customWidth="1"/>
    <col min="15106" max="15106" width="12.7109375" style="17" customWidth="1"/>
    <col min="15107" max="15107" width="22.8515625" style="17" customWidth="1"/>
    <col min="15108" max="15108" width="10.140625" style="17" customWidth="1"/>
    <col min="15109" max="15109" width="14.00390625" style="17" customWidth="1"/>
    <col min="15110" max="15110" width="22.8515625" style="17" customWidth="1"/>
    <col min="15111" max="15111" width="9.140625" style="17" customWidth="1"/>
    <col min="15112" max="15112" width="12.7109375" style="17" customWidth="1"/>
    <col min="15113" max="15113" width="22.8515625" style="17" customWidth="1"/>
    <col min="15114" max="15360" width="11.57421875" style="17" customWidth="1"/>
    <col min="15361" max="15361" width="9.140625" style="17" customWidth="1"/>
    <col min="15362" max="15362" width="12.7109375" style="17" customWidth="1"/>
    <col min="15363" max="15363" width="22.8515625" style="17" customWidth="1"/>
    <col min="15364" max="15364" width="10.140625" style="17" customWidth="1"/>
    <col min="15365" max="15365" width="14.00390625" style="17" customWidth="1"/>
    <col min="15366" max="15366" width="22.8515625" style="17" customWidth="1"/>
    <col min="15367" max="15367" width="9.140625" style="17" customWidth="1"/>
    <col min="15368" max="15368" width="12.7109375" style="17" customWidth="1"/>
    <col min="15369" max="15369" width="22.8515625" style="17" customWidth="1"/>
    <col min="15370" max="15616" width="11.57421875" style="17" customWidth="1"/>
    <col min="15617" max="15617" width="9.140625" style="17" customWidth="1"/>
    <col min="15618" max="15618" width="12.7109375" style="17" customWidth="1"/>
    <col min="15619" max="15619" width="22.8515625" style="17" customWidth="1"/>
    <col min="15620" max="15620" width="10.140625" style="17" customWidth="1"/>
    <col min="15621" max="15621" width="14.00390625" style="17" customWidth="1"/>
    <col min="15622" max="15622" width="22.8515625" style="17" customWidth="1"/>
    <col min="15623" max="15623" width="9.140625" style="17" customWidth="1"/>
    <col min="15624" max="15624" width="12.7109375" style="17" customWidth="1"/>
    <col min="15625" max="15625" width="22.8515625" style="17" customWidth="1"/>
    <col min="15626" max="15872" width="11.57421875" style="17" customWidth="1"/>
    <col min="15873" max="15873" width="9.140625" style="17" customWidth="1"/>
    <col min="15874" max="15874" width="12.7109375" style="17" customWidth="1"/>
    <col min="15875" max="15875" width="22.8515625" style="17" customWidth="1"/>
    <col min="15876" max="15876" width="10.140625" style="17" customWidth="1"/>
    <col min="15877" max="15877" width="14.00390625" style="17" customWidth="1"/>
    <col min="15878" max="15878" width="22.8515625" style="17" customWidth="1"/>
    <col min="15879" max="15879" width="9.140625" style="17" customWidth="1"/>
    <col min="15880" max="15880" width="12.7109375" style="17" customWidth="1"/>
    <col min="15881" max="15881" width="22.8515625" style="17" customWidth="1"/>
    <col min="15882" max="16128" width="11.57421875" style="17" customWidth="1"/>
    <col min="16129" max="16129" width="9.140625" style="17" customWidth="1"/>
    <col min="16130" max="16130" width="12.7109375" style="17" customWidth="1"/>
    <col min="16131" max="16131" width="22.8515625" style="17" customWidth="1"/>
    <col min="16132" max="16132" width="10.140625" style="17" customWidth="1"/>
    <col min="16133" max="16133" width="14.00390625" style="17" customWidth="1"/>
    <col min="16134" max="16134" width="22.8515625" style="17" customWidth="1"/>
    <col min="16135" max="16135" width="9.140625" style="17" customWidth="1"/>
    <col min="16136" max="16136" width="12.7109375" style="17" customWidth="1"/>
    <col min="16137" max="16137" width="22.8515625" style="17" customWidth="1"/>
    <col min="16138" max="16384" width="11.57421875" style="17" customWidth="1"/>
  </cols>
  <sheetData>
    <row r="1" spans="1:9" ht="73.05" customHeight="1">
      <c r="A1" s="15"/>
      <c r="B1" s="16"/>
      <c r="C1" s="642" t="s">
        <v>24</v>
      </c>
      <c r="D1" s="643"/>
      <c r="E1" s="643"/>
      <c r="F1" s="643"/>
      <c r="G1" s="643"/>
      <c r="H1" s="643"/>
      <c r="I1" s="643"/>
    </row>
    <row r="2" spans="1:10" ht="15">
      <c r="A2" s="644" t="s">
        <v>13</v>
      </c>
      <c r="B2" s="645"/>
      <c r="C2" s="648" t="str">
        <f>'SO 01_Výkaz výměr'!C2</f>
        <v>Úprava zahrady Strakovy akademie</v>
      </c>
      <c r="D2" s="649"/>
      <c r="E2" s="651" t="s">
        <v>15</v>
      </c>
      <c r="F2" s="651" t="str">
        <f>'SO 01_Výkaz výměr'!I2</f>
        <v>Úřad vlády České republiky, nábř. E. Beneše 128/4,</v>
      </c>
      <c r="G2" s="645"/>
      <c r="H2" s="651" t="s">
        <v>25</v>
      </c>
      <c r="I2" s="652"/>
      <c r="J2" s="18"/>
    </row>
    <row r="3" spans="1:10" ht="12.75" customHeight="1">
      <c r="A3" s="646"/>
      <c r="B3" s="647"/>
      <c r="C3" s="650"/>
      <c r="D3" s="650"/>
      <c r="E3" s="647"/>
      <c r="F3" s="647"/>
      <c r="G3" s="647"/>
      <c r="H3" s="647"/>
      <c r="I3" s="653"/>
      <c r="J3" s="18"/>
    </row>
    <row r="4" spans="1:10" ht="15">
      <c r="A4" s="655" t="s">
        <v>26</v>
      </c>
      <c r="B4" s="647"/>
      <c r="C4" s="656" t="s">
        <v>4</v>
      </c>
      <c r="D4" s="647"/>
      <c r="E4" s="656" t="s">
        <v>27</v>
      </c>
      <c r="F4" s="656" t="str">
        <f>'SO 01_Výkaz výměr'!I4</f>
        <v>Ing. Přemysl Krejčiřík, Ph.D.</v>
      </c>
      <c r="G4" s="647"/>
      <c r="H4" s="656" t="s">
        <v>25</v>
      </c>
      <c r="I4" s="654" t="s">
        <v>28</v>
      </c>
      <c r="J4" s="18"/>
    </row>
    <row r="5" spans="1:10" ht="12.75" customHeight="1">
      <c r="A5" s="646"/>
      <c r="B5" s="647"/>
      <c r="C5" s="647"/>
      <c r="D5" s="647"/>
      <c r="E5" s="647"/>
      <c r="F5" s="647"/>
      <c r="G5" s="647"/>
      <c r="H5" s="647"/>
      <c r="I5" s="653"/>
      <c r="J5" s="18"/>
    </row>
    <row r="6" spans="1:10" ht="15">
      <c r="A6" s="655" t="s">
        <v>16</v>
      </c>
      <c r="B6" s="647"/>
      <c r="C6" s="656" t="str">
        <f>'SO 01_Výkaz výměr'!C6</f>
        <v>Praha, Malá Strana</v>
      </c>
      <c r="D6" s="647"/>
      <c r="E6" s="656" t="s">
        <v>29</v>
      </c>
      <c r="F6" s="656" t="str">
        <f>'SO 01_Výkaz výměr'!I6</f>
        <v> </v>
      </c>
      <c r="G6" s="647"/>
      <c r="H6" s="656" t="s">
        <v>25</v>
      </c>
      <c r="I6" s="654"/>
      <c r="J6" s="18"/>
    </row>
    <row r="7" spans="1:10" ht="12.75" customHeight="1">
      <c r="A7" s="646"/>
      <c r="B7" s="647"/>
      <c r="C7" s="647"/>
      <c r="D7" s="647"/>
      <c r="E7" s="647"/>
      <c r="F7" s="647"/>
      <c r="G7" s="647"/>
      <c r="H7" s="647"/>
      <c r="I7" s="653"/>
      <c r="J7" s="18"/>
    </row>
    <row r="8" spans="1:10" ht="15">
      <c r="A8" s="655" t="s">
        <v>30</v>
      </c>
      <c r="B8" s="647"/>
      <c r="C8" s="656" t="str">
        <f>'SO 01_Výkaz výměr'!F4</f>
        <v xml:space="preserve"> </v>
      </c>
      <c r="D8" s="647"/>
      <c r="E8" s="656" t="s">
        <v>31</v>
      </c>
      <c r="F8" s="656" t="str">
        <f>'SO 01_Výkaz výměr'!F6</f>
        <v xml:space="preserve"> </v>
      </c>
      <c r="G8" s="647"/>
      <c r="H8" s="659" t="s">
        <v>32</v>
      </c>
      <c r="I8" s="654" t="s">
        <v>33</v>
      </c>
      <c r="J8" s="18"/>
    </row>
    <row r="9" spans="1:10" ht="15">
      <c r="A9" s="646"/>
      <c r="B9" s="647"/>
      <c r="C9" s="647"/>
      <c r="D9" s="647"/>
      <c r="E9" s="647"/>
      <c r="F9" s="647"/>
      <c r="G9" s="647"/>
      <c r="H9" s="647"/>
      <c r="I9" s="653"/>
      <c r="J9" s="18"/>
    </row>
    <row r="10" spans="1:10" ht="15">
      <c r="A10" s="655" t="s">
        <v>34</v>
      </c>
      <c r="B10" s="647"/>
      <c r="C10" s="656" t="str">
        <f>'SO 01_Výkaz výměr'!C8</f>
        <v xml:space="preserve"> </v>
      </c>
      <c r="D10" s="647"/>
      <c r="E10" s="656" t="s">
        <v>35</v>
      </c>
      <c r="F10" s="656" t="str">
        <f>'SO 01_Výkaz výměr'!I8</f>
        <v>Ing. Martina Zimmermannová</v>
      </c>
      <c r="G10" s="647"/>
      <c r="H10" s="659" t="s">
        <v>18</v>
      </c>
      <c r="I10" s="657" t="str">
        <f>'SO 01_Výkaz výměr'!F8</f>
        <v>09.09.2019</v>
      </c>
      <c r="J10" s="18"/>
    </row>
    <row r="11" spans="1:10" ht="15">
      <c r="A11" s="660"/>
      <c r="B11" s="661"/>
      <c r="C11" s="661"/>
      <c r="D11" s="661"/>
      <c r="E11" s="661"/>
      <c r="F11" s="661"/>
      <c r="G11" s="661"/>
      <c r="H11" s="661"/>
      <c r="I11" s="658"/>
      <c r="J11" s="18"/>
    </row>
    <row r="12" spans="1:9" ht="18.75" customHeight="1">
      <c r="A12" s="662" t="s">
        <v>36</v>
      </c>
      <c r="B12" s="663"/>
      <c r="C12" s="663"/>
      <c r="D12" s="663"/>
      <c r="E12" s="663"/>
      <c r="F12" s="663"/>
      <c r="G12" s="663"/>
      <c r="H12" s="663"/>
      <c r="I12" s="663"/>
    </row>
    <row r="13" spans="1:10" ht="26.55" customHeight="1">
      <c r="A13" s="19" t="s">
        <v>37</v>
      </c>
      <c r="B13" s="664" t="s">
        <v>38</v>
      </c>
      <c r="C13" s="665"/>
      <c r="D13" s="19" t="s">
        <v>39</v>
      </c>
      <c r="E13" s="664" t="s">
        <v>40</v>
      </c>
      <c r="F13" s="665"/>
      <c r="G13" s="19" t="s">
        <v>41</v>
      </c>
      <c r="H13" s="664" t="s">
        <v>42</v>
      </c>
      <c r="I13" s="665"/>
      <c r="J13" s="18"/>
    </row>
    <row r="14" spans="1:10" ht="12.75" customHeight="1">
      <c r="A14" s="20" t="s">
        <v>43</v>
      </c>
      <c r="B14" s="21" t="s">
        <v>44</v>
      </c>
      <c r="C14" s="22">
        <f>SUM('SO 01_Výkaz výměr'!AB12:AB484)</f>
        <v>0</v>
      </c>
      <c r="D14" s="666" t="s">
        <v>45</v>
      </c>
      <c r="E14" s="667"/>
      <c r="F14" s="672">
        <v>0</v>
      </c>
      <c r="G14" s="666" t="s">
        <v>46</v>
      </c>
      <c r="H14" s="667"/>
      <c r="I14" s="672">
        <v>0</v>
      </c>
      <c r="J14" s="18"/>
    </row>
    <row r="15" spans="1:10" ht="12.75" customHeight="1">
      <c r="A15" s="23"/>
      <c r="B15" s="21" t="s">
        <v>47</v>
      </c>
      <c r="C15" s="22">
        <f>SUM('SO 01_Výkaz výměr'!AC12:AC484)</f>
        <v>0</v>
      </c>
      <c r="D15" s="668"/>
      <c r="E15" s="669"/>
      <c r="F15" s="673"/>
      <c r="G15" s="668"/>
      <c r="H15" s="669"/>
      <c r="I15" s="673"/>
      <c r="J15" s="18"/>
    </row>
    <row r="16" spans="1:10" ht="23.4" customHeight="1">
      <c r="A16" s="20" t="s">
        <v>48</v>
      </c>
      <c r="B16" s="21" t="s">
        <v>44</v>
      </c>
      <c r="C16" s="22">
        <f>SUM('SO 01_Výkaz výměr'!AD12:AD484)</f>
        <v>0</v>
      </c>
      <c r="D16" s="670"/>
      <c r="E16" s="671"/>
      <c r="F16" s="674"/>
      <c r="G16" s="670"/>
      <c r="H16" s="671"/>
      <c r="I16" s="674"/>
      <c r="J16" s="18"/>
    </row>
    <row r="17" spans="1:10" ht="12.75" customHeight="1">
      <c r="A17" s="23"/>
      <c r="B17" s="21" t="s">
        <v>47</v>
      </c>
      <c r="C17" s="22">
        <f>SUM('SO 01_Výkaz výměr'!AE12:AE484)</f>
        <v>0</v>
      </c>
      <c r="D17" s="666" t="s">
        <v>49</v>
      </c>
      <c r="E17" s="667"/>
      <c r="F17" s="672">
        <v>0</v>
      </c>
      <c r="G17" s="666" t="s">
        <v>50</v>
      </c>
      <c r="H17" s="667"/>
      <c r="I17" s="672">
        <v>0</v>
      </c>
      <c r="J17" s="18"/>
    </row>
    <row r="18" spans="1:10" ht="12.75" customHeight="1">
      <c r="A18" s="20" t="s">
        <v>51</v>
      </c>
      <c r="B18" s="21" t="s">
        <v>44</v>
      </c>
      <c r="C18" s="22">
        <f>SUM('SO 01_Výkaz výměr'!AF12:AF484)</f>
        <v>0</v>
      </c>
      <c r="D18" s="668"/>
      <c r="E18" s="669"/>
      <c r="F18" s="673"/>
      <c r="G18" s="668"/>
      <c r="H18" s="669"/>
      <c r="I18" s="673"/>
      <c r="J18" s="18"/>
    </row>
    <row r="19" spans="1:10" ht="12.75" customHeight="1">
      <c r="A19" s="23"/>
      <c r="B19" s="21" t="s">
        <v>47</v>
      </c>
      <c r="C19" s="22">
        <f>SUM('SO 01_Výkaz výměr'!AG12:AG484)</f>
        <v>0</v>
      </c>
      <c r="D19" s="668"/>
      <c r="E19" s="669"/>
      <c r="F19" s="673"/>
      <c r="G19" s="668"/>
      <c r="H19" s="669"/>
      <c r="I19" s="673"/>
      <c r="J19" s="18"/>
    </row>
    <row r="20" spans="1:10" ht="12.75" customHeight="1">
      <c r="A20" s="675" t="s">
        <v>52</v>
      </c>
      <c r="B20" s="676"/>
      <c r="C20" s="22">
        <f>SUM('SO 01_Výkaz výměr'!AH12:AH484)</f>
        <v>0</v>
      </c>
      <c r="D20" s="670"/>
      <c r="E20" s="671"/>
      <c r="F20" s="674"/>
      <c r="G20" s="668"/>
      <c r="H20" s="669"/>
      <c r="I20" s="673"/>
      <c r="J20" s="18"/>
    </row>
    <row r="21" spans="1:10" ht="40.8" customHeight="1">
      <c r="A21" s="675" t="s">
        <v>53</v>
      </c>
      <c r="B21" s="676"/>
      <c r="C21" s="22">
        <f>SUM('SO 01_Výkaz výměr'!Z12:Z484)</f>
        <v>0</v>
      </c>
      <c r="D21" s="677"/>
      <c r="E21" s="678"/>
      <c r="F21" s="24"/>
      <c r="G21" s="670"/>
      <c r="H21" s="671"/>
      <c r="I21" s="674"/>
      <c r="J21" s="18"/>
    </row>
    <row r="22" spans="1:10" ht="16.95" customHeight="1">
      <c r="A22" s="675" t="s">
        <v>54</v>
      </c>
      <c r="B22" s="676"/>
      <c r="C22" s="22">
        <f>SUM(C14:C21)</f>
        <v>0</v>
      </c>
      <c r="D22" s="681" t="s">
        <v>55</v>
      </c>
      <c r="E22" s="682"/>
      <c r="F22" s="25">
        <f>SUM(F14:F21)</f>
        <v>0</v>
      </c>
      <c r="G22" s="681" t="s">
        <v>56</v>
      </c>
      <c r="H22" s="682"/>
      <c r="I22" s="25">
        <f>SUM(I14:I21)</f>
        <v>0</v>
      </c>
      <c r="J22" s="18"/>
    </row>
    <row r="23" spans="1:10" ht="12.75" customHeight="1" thickBot="1">
      <c r="A23" s="26"/>
      <c r="B23" s="26"/>
      <c r="C23" s="27"/>
      <c r="D23" s="675"/>
      <c r="E23" s="676"/>
      <c r="F23" s="28"/>
      <c r="G23" s="675"/>
      <c r="H23" s="676"/>
      <c r="I23" s="22"/>
      <c r="J23" s="18"/>
    </row>
    <row r="24" spans="4:9" ht="12.75" customHeight="1">
      <c r="D24" s="26"/>
      <c r="E24" s="26"/>
      <c r="F24" s="29"/>
      <c r="G24" s="675"/>
      <c r="H24" s="676"/>
      <c r="I24" s="30"/>
    </row>
    <row r="25" spans="6:10" ht="12.75" customHeight="1">
      <c r="F25" s="31"/>
      <c r="G25" s="675"/>
      <c r="H25" s="676"/>
      <c r="I25" s="22"/>
      <c r="J25" s="18"/>
    </row>
    <row r="26" spans="1:9" ht="15">
      <c r="A26" s="16"/>
      <c r="B26" s="16"/>
      <c r="C26" s="16"/>
      <c r="G26" s="26"/>
      <c r="H26" s="26"/>
      <c r="I26" s="26"/>
    </row>
    <row r="27" spans="1:9" ht="12.75" customHeight="1">
      <c r="A27" s="679" t="s">
        <v>57</v>
      </c>
      <c r="B27" s="680"/>
      <c r="C27" s="32">
        <v>0</v>
      </c>
      <c r="D27" s="33"/>
      <c r="E27" s="16"/>
      <c r="F27" s="16"/>
      <c r="G27" s="16"/>
      <c r="H27" s="16"/>
      <c r="I27" s="16"/>
    </row>
    <row r="28" spans="1:10" ht="12.75" customHeight="1">
      <c r="A28" s="679" t="s">
        <v>58</v>
      </c>
      <c r="B28" s="680"/>
      <c r="C28" s="32">
        <v>0</v>
      </c>
      <c r="D28" s="679" t="s">
        <v>59</v>
      </c>
      <c r="E28" s="680"/>
      <c r="F28" s="32">
        <v>0</v>
      </c>
      <c r="G28" s="679" t="s">
        <v>60</v>
      </c>
      <c r="H28" s="680"/>
      <c r="I28" s="32">
        <f>SUM(C27:C29)</f>
        <v>0</v>
      </c>
      <c r="J28" s="18"/>
    </row>
    <row r="29" spans="1:10" ht="12.75" customHeight="1">
      <c r="A29" s="679" t="s">
        <v>61</v>
      </c>
      <c r="B29" s="680"/>
      <c r="C29" s="32">
        <f>SUM('SO 01_Výkaz výměr'!AL12:AL484)+(F22+I22+F23+I23+I24+I25)</f>
        <v>0</v>
      </c>
      <c r="D29" s="679" t="s">
        <v>8</v>
      </c>
      <c r="E29" s="680"/>
      <c r="F29" s="32">
        <f>ROUND(C29*(21/100),2)</f>
        <v>0</v>
      </c>
      <c r="G29" s="679" t="s">
        <v>62</v>
      </c>
      <c r="H29" s="680"/>
      <c r="I29" s="32">
        <f>SUM(F28:F29)+I28</f>
        <v>0</v>
      </c>
      <c r="J29" s="18"/>
    </row>
    <row r="30" spans="1:9" ht="13.8" thickBot="1">
      <c r="A30" s="34"/>
      <c r="B30" s="34"/>
      <c r="C30" s="34"/>
      <c r="D30" s="34"/>
      <c r="E30" s="34"/>
      <c r="F30" s="34"/>
      <c r="G30" s="34"/>
      <c r="H30" s="34"/>
      <c r="I30" s="34"/>
    </row>
    <row r="31" spans="1:10" ht="12.75" customHeight="1">
      <c r="A31" s="683" t="s">
        <v>63</v>
      </c>
      <c r="B31" s="684"/>
      <c r="C31" s="685"/>
      <c r="D31" s="683" t="s">
        <v>64</v>
      </c>
      <c r="E31" s="684"/>
      <c r="F31" s="685"/>
      <c r="G31" s="683" t="s">
        <v>65</v>
      </c>
      <c r="H31" s="684"/>
      <c r="I31" s="685"/>
      <c r="J31" s="35"/>
    </row>
    <row r="32" spans="1:10" ht="12.75" customHeight="1">
      <c r="A32" s="686"/>
      <c r="B32" s="687"/>
      <c r="C32" s="688"/>
      <c r="D32" s="686"/>
      <c r="E32" s="687"/>
      <c r="F32" s="688"/>
      <c r="G32" s="686"/>
      <c r="H32" s="687"/>
      <c r="I32" s="688"/>
      <c r="J32" s="35"/>
    </row>
    <row r="33" spans="1:10" ht="12.75" customHeight="1">
      <c r="A33" s="686"/>
      <c r="B33" s="687"/>
      <c r="C33" s="688"/>
      <c r="D33" s="686"/>
      <c r="E33" s="687"/>
      <c r="F33" s="688"/>
      <c r="G33" s="686"/>
      <c r="H33" s="687"/>
      <c r="I33" s="688"/>
      <c r="J33" s="35"/>
    </row>
    <row r="34" spans="1:10" ht="12.75" customHeight="1">
      <c r="A34" s="686"/>
      <c r="B34" s="687"/>
      <c r="C34" s="688"/>
      <c r="D34" s="686"/>
      <c r="E34" s="687"/>
      <c r="F34" s="688"/>
      <c r="G34" s="686"/>
      <c r="H34" s="687"/>
      <c r="I34" s="688"/>
      <c r="J34" s="35"/>
    </row>
    <row r="35" spans="1:10" ht="12.75" customHeight="1" thickBot="1">
      <c r="A35" s="689" t="s">
        <v>66</v>
      </c>
      <c r="B35" s="690"/>
      <c r="C35" s="691"/>
      <c r="D35" s="689" t="s">
        <v>66</v>
      </c>
      <c r="E35" s="690"/>
      <c r="F35" s="691"/>
      <c r="G35" s="689" t="s">
        <v>66</v>
      </c>
      <c r="H35" s="690"/>
      <c r="I35" s="691"/>
      <c r="J35" s="35"/>
    </row>
    <row r="36" spans="1:9" ht="10.8" customHeight="1">
      <c r="A36" s="36" t="s">
        <v>67</v>
      </c>
      <c r="B36" s="37"/>
      <c r="C36" s="37"/>
      <c r="D36" s="37"/>
      <c r="E36" s="37"/>
      <c r="F36" s="37"/>
      <c r="G36" s="37"/>
      <c r="H36" s="37"/>
      <c r="I36" s="37"/>
    </row>
    <row r="37" spans="1:9" ht="12.75" customHeight="1">
      <c r="A37" s="656"/>
      <c r="B37" s="647"/>
      <c r="C37" s="647"/>
      <c r="D37" s="647"/>
      <c r="E37" s="647"/>
      <c r="F37" s="647"/>
      <c r="G37" s="647"/>
      <c r="H37" s="647"/>
      <c r="I37" s="647"/>
    </row>
  </sheetData>
  <sheetProtection algorithmName="SHA-512" hashValue="r5mRk2bw8gXNX2tvnfZbjlH1lm1qxbn2t5H5q7uoRK5sVd6qVZCrJoQvC7/bbva9AZEbWjqJK/qACHmEfIFjMA==" saltValue="LDTzmvBS2F7hYVZRgzFN3A==" spinCount="100000" sheet="1"/>
  <mergeCells count="76"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  <mergeCell ref="A31:C31"/>
    <mergeCell ref="D31:F31"/>
    <mergeCell ref="G31:I31"/>
    <mergeCell ref="A32:C32"/>
    <mergeCell ref="D32:F32"/>
    <mergeCell ref="G32:I32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D17:E20"/>
    <mergeCell ref="F17:F20"/>
    <mergeCell ref="G17:H21"/>
    <mergeCell ref="I17:I21"/>
    <mergeCell ref="A20:B20"/>
    <mergeCell ref="A21:B21"/>
    <mergeCell ref="D21:E21"/>
    <mergeCell ref="A12:I12"/>
    <mergeCell ref="B13:C13"/>
    <mergeCell ref="E13:F13"/>
    <mergeCell ref="H13:I13"/>
    <mergeCell ref="D14:E16"/>
    <mergeCell ref="F14:F16"/>
    <mergeCell ref="G14:H16"/>
    <mergeCell ref="I14:I16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E8C1-9278-4C99-A58D-7E8249FEDF4F}">
  <sheetPr>
    <pageSetUpPr fitToPage="1"/>
  </sheetPr>
  <dimension ref="A1:J37"/>
  <sheetViews>
    <sheetView workbookViewId="0" topLeftCell="A1">
      <selection activeCell="N21" sqref="N21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05" customHeight="1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ht="15">
      <c r="A2" s="764" t="s">
        <v>13</v>
      </c>
      <c r="B2" s="765"/>
      <c r="C2" s="768" t="str">
        <f>'SO 09_Výkaz výměr'!C2</f>
        <v>Úpravy zahrady Strakovy akademie</v>
      </c>
      <c r="D2" s="769"/>
      <c r="E2" s="771" t="s">
        <v>15</v>
      </c>
      <c r="F2" s="771" t="str">
        <f>'SO 09_Výkaz výměr'!I2</f>
        <v>Úřad vlády České republiky, nábř. E. Beneše 128/4,</v>
      </c>
      <c r="G2" s="765"/>
      <c r="H2" s="771" t="s">
        <v>25</v>
      </c>
      <c r="I2" s="772"/>
      <c r="J2" s="102"/>
    </row>
    <row r="3" spans="1:10" ht="12.75" customHeight="1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ht="15">
      <c r="A4" s="776" t="s">
        <v>26</v>
      </c>
      <c r="B4" s="767"/>
      <c r="C4" s="777" t="s">
        <v>23</v>
      </c>
      <c r="D4" s="767"/>
      <c r="E4" s="777" t="s">
        <v>27</v>
      </c>
      <c r="F4" s="777" t="str">
        <f>'SO 09_Výkaz výměr'!I4</f>
        <v>Ing. Přemysl Krejčiřík, Ph.D.</v>
      </c>
      <c r="G4" s="767"/>
      <c r="H4" s="777" t="s">
        <v>25</v>
      </c>
      <c r="I4" s="778" t="s">
        <v>28</v>
      </c>
      <c r="J4" s="102"/>
    </row>
    <row r="5" spans="1:10" ht="12.75" customHeight="1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ht="15">
      <c r="A6" s="776" t="s">
        <v>16</v>
      </c>
      <c r="B6" s="767"/>
      <c r="C6" s="777" t="str">
        <f>'SO 09_Výkaz výměr'!C6</f>
        <v>Praha, Malá Strana</v>
      </c>
      <c r="D6" s="767"/>
      <c r="E6" s="777" t="s">
        <v>29</v>
      </c>
      <c r="F6" s="777" t="str">
        <f>'SO 09_Výkaz výměr'!I6</f>
        <v> </v>
      </c>
      <c r="G6" s="767"/>
      <c r="H6" s="777" t="s">
        <v>25</v>
      </c>
      <c r="I6" s="778"/>
      <c r="J6" s="102"/>
    </row>
    <row r="7" spans="1:10" ht="12.75" customHeight="1">
      <c r="A7" s="766"/>
      <c r="B7" s="767"/>
      <c r="C7" s="767"/>
      <c r="D7" s="767"/>
      <c r="E7" s="767"/>
      <c r="F7" s="767"/>
      <c r="G7" s="767"/>
      <c r="H7" s="767"/>
      <c r="I7" s="773"/>
      <c r="J7" s="102"/>
    </row>
    <row r="8" spans="1:10" ht="15">
      <c r="A8" s="776" t="s">
        <v>30</v>
      </c>
      <c r="B8" s="767"/>
      <c r="C8" s="777" t="str">
        <f>'SO 09_Výkaz výměr'!F4</f>
        <v xml:space="preserve"> </v>
      </c>
      <c r="D8" s="767"/>
      <c r="E8" s="777" t="s">
        <v>31</v>
      </c>
      <c r="F8" s="777" t="str">
        <f>'SO 09_Výkaz výměr'!F6</f>
        <v xml:space="preserve"> </v>
      </c>
      <c r="G8" s="767"/>
      <c r="H8" s="783" t="s">
        <v>32</v>
      </c>
      <c r="I8" s="778" t="s">
        <v>301</v>
      </c>
      <c r="J8" s="102"/>
    </row>
    <row r="9" spans="1:10" ht="15">
      <c r="A9" s="766"/>
      <c r="B9" s="767"/>
      <c r="C9" s="767"/>
      <c r="D9" s="767"/>
      <c r="E9" s="767"/>
      <c r="F9" s="767"/>
      <c r="G9" s="767"/>
      <c r="H9" s="767"/>
      <c r="I9" s="773"/>
      <c r="J9" s="102"/>
    </row>
    <row r="10" spans="1:10" ht="15">
      <c r="A10" s="776" t="s">
        <v>34</v>
      </c>
      <c r="B10" s="767"/>
      <c r="C10" s="777" t="str">
        <f>'SO 09_Výkaz výměr'!C8</f>
        <v xml:space="preserve"> </v>
      </c>
      <c r="D10" s="767"/>
      <c r="E10" s="777" t="s">
        <v>35</v>
      </c>
      <c r="F10" s="777" t="str">
        <f>'SO 09_Výkaz výměr'!I8</f>
        <v>Ing. Martina Zimmermannová</v>
      </c>
      <c r="G10" s="767"/>
      <c r="H10" s="783" t="s">
        <v>18</v>
      </c>
      <c r="I10" s="905" t="str">
        <f>'SO 09_Výkaz výměr'!F8</f>
        <v>20.09.2019</v>
      </c>
      <c r="J10" s="102"/>
    </row>
    <row r="11" spans="1:10" ht="15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9" ht="18.75" customHeight="1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>
      <c r="A13" s="103" t="s">
        <v>37</v>
      </c>
      <c r="B13" s="790" t="s">
        <v>38</v>
      </c>
      <c r="C13" s="791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>
      <c r="A14" s="104" t="s">
        <v>43</v>
      </c>
      <c r="B14" s="105" t="s">
        <v>44</v>
      </c>
      <c r="C14" s="106">
        <f>SUM('SO 09_Výkaz výměr'!AB12:AB97)</f>
        <v>0</v>
      </c>
      <c r="D14" s="749" t="s">
        <v>45</v>
      </c>
      <c r="E14" s="750"/>
      <c r="F14" s="755">
        <v>0</v>
      </c>
      <c r="G14" s="749" t="s">
        <v>46</v>
      </c>
      <c r="H14" s="750"/>
      <c r="I14" s="755">
        <v>0</v>
      </c>
      <c r="J14" s="102"/>
    </row>
    <row r="15" spans="1:10" ht="36" customHeight="1">
      <c r="A15" s="107"/>
      <c r="B15" s="105" t="s">
        <v>47</v>
      </c>
      <c r="C15" s="106">
        <f>SUM('SO 09_Výkaz výměr'!AC12:AC97)</f>
        <v>0</v>
      </c>
      <c r="D15" s="751"/>
      <c r="E15" s="752"/>
      <c r="F15" s="756"/>
      <c r="G15" s="751"/>
      <c r="H15" s="752"/>
      <c r="I15" s="756"/>
      <c r="J15" s="102"/>
    </row>
    <row r="16" spans="1:10" ht="12.75" customHeight="1">
      <c r="A16" s="104" t="s">
        <v>48</v>
      </c>
      <c r="B16" s="105" t="s">
        <v>44</v>
      </c>
      <c r="C16" s="106">
        <f>SUM('SO 09_Výkaz výměr'!AD12:AD97)</f>
        <v>0</v>
      </c>
      <c r="D16" s="753"/>
      <c r="E16" s="754"/>
      <c r="F16" s="757"/>
      <c r="G16" s="753"/>
      <c r="H16" s="754"/>
      <c r="I16" s="757"/>
      <c r="J16" s="102"/>
    </row>
    <row r="17" spans="1:10" ht="12.75" customHeight="1">
      <c r="A17" s="107"/>
      <c r="B17" s="105" t="s">
        <v>47</v>
      </c>
      <c r="C17" s="106">
        <f>SUM('SO 09_Výkaz výměr'!AE12:AE97)</f>
        <v>0</v>
      </c>
      <c r="D17" s="745"/>
      <c r="E17" s="746"/>
      <c r="F17" s="108"/>
      <c r="G17" s="749" t="s">
        <v>50</v>
      </c>
      <c r="H17" s="750"/>
      <c r="I17" s="755">
        <v>0</v>
      </c>
      <c r="J17" s="102"/>
    </row>
    <row r="18" spans="1:10" ht="12.75" customHeight="1">
      <c r="A18" s="104" t="s">
        <v>51</v>
      </c>
      <c r="B18" s="105" t="s">
        <v>44</v>
      </c>
      <c r="C18" s="106">
        <f>SUM('SO 09_Výkaz výměr'!AF12:AF97)</f>
        <v>0</v>
      </c>
      <c r="D18" s="745"/>
      <c r="E18" s="746"/>
      <c r="F18" s="108"/>
      <c r="G18" s="751"/>
      <c r="H18" s="752"/>
      <c r="I18" s="756"/>
      <c r="J18" s="102"/>
    </row>
    <row r="19" spans="1:10" ht="12.75" customHeight="1">
      <c r="A19" s="107"/>
      <c r="B19" s="105" t="s">
        <v>47</v>
      </c>
      <c r="C19" s="106">
        <f>SUM('SO 09_Výkaz výměr'!AG12:AG97)</f>
        <v>0</v>
      </c>
      <c r="D19" s="745"/>
      <c r="E19" s="746"/>
      <c r="F19" s="108"/>
      <c r="G19" s="751"/>
      <c r="H19" s="752"/>
      <c r="I19" s="756"/>
      <c r="J19" s="102"/>
    </row>
    <row r="20" spans="1:10" ht="12.75" customHeight="1">
      <c r="A20" s="747" t="s">
        <v>52</v>
      </c>
      <c r="B20" s="748"/>
      <c r="C20" s="106">
        <f>SUM('SO 09_Výkaz výměr'!AH12:AH97)</f>
        <v>0</v>
      </c>
      <c r="D20" s="745"/>
      <c r="E20" s="746"/>
      <c r="F20" s="108"/>
      <c r="G20" s="751"/>
      <c r="H20" s="752"/>
      <c r="I20" s="756"/>
      <c r="J20" s="102"/>
    </row>
    <row r="21" spans="1:10" ht="37.2" customHeight="1">
      <c r="A21" s="747" t="s">
        <v>53</v>
      </c>
      <c r="B21" s="748"/>
      <c r="C21" s="106">
        <f>SUM('SO 09_Výkaz výměr'!Z12:Z97)</f>
        <v>0</v>
      </c>
      <c r="D21" s="745"/>
      <c r="E21" s="746"/>
      <c r="F21" s="108"/>
      <c r="G21" s="753"/>
      <c r="H21" s="754"/>
      <c r="I21" s="757"/>
      <c r="J21" s="102"/>
    </row>
    <row r="22" spans="1:10" ht="16.95" customHeight="1">
      <c r="A22" s="747" t="s">
        <v>54</v>
      </c>
      <c r="B22" s="748"/>
      <c r="C22" s="106">
        <f>SUM(C14:C21)</f>
        <v>0</v>
      </c>
      <c r="D22" s="747" t="s">
        <v>55</v>
      </c>
      <c r="E22" s="748"/>
      <c r="F22" s="106">
        <f>SUM(F14:F21)</f>
        <v>0</v>
      </c>
      <c r="G22" s="747" t="s">
        <v>56</v>
      </c>
      <c r="H22" s="748"/>
      <c r="I22" s="106">
        <f>SUM(I14:I21)</f>
        <v>0</v>
      </c>
      <c r="J22" s="102"/>
    </row>
    <row r="23" spans="1:10" ht="12.75" customHeight="1" thickBot="1">
      <c r="A23" s="109"/>
      <c r="B23" s="109"/>
      <c r="C23" s="110"/>
      <c r="D23" s="747"/>
      <c r="E23" s="748"/>
      <c r="F23" s="111"/>
      <c r="G23" s="747"/>
      <c r="H23" s="748"/>
      <c r="I23" s="106"/>
      <c r="J23" s="102"/>
    </row>
    <row r="24" spans="4:9" ht="12.75" customHeight="1">
      <c r="D24" s="109"/>
      <c r="E24" s="109"/>
      <c r="F24" s="112"/>
      <c r="G24" s="747"/>
      <c r="H24" s="748"/>
      <c r="I24" s="113"/>
    </row>
    <row r="25" spans="6:10" ht="12.75" customHeight="1">
      <c r="F25" s="114"/>
      <c r="G25" s="747"/>
      <c r="H25" s="748"/>
      <c r="I25" s="106"/>
      <c r="J25" s="102"/>
    </row>
    <row r="26" spans="1:9" ht="15">
      <c r="A26" s="100"/>
      <c r="B26" s="100"/>
      <c r="C26" s="100"/>
      <c r="G26" s="109"/>
      <c r="H26" s="109"/>
      <c r="I26" s="109"/>
    </row>
    <row r="27" spans="1:9" ht="12.75" customHeight="1">
      <c r="A27" s="805" t="s">
        <v>57</v>
      </c>
      <c r="B27" s="806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805" t="s">
        <v>58</v>
      </c>
      <c r="B28" s="806"/>
      <c r="C28" s="115">
        <v>0</v>
      </c>
      <c r="D28" s="805" t="s">
        <v>59</v>
      </c>
      <c r="E28" s="806"/>
      <c r="F28" s="115">
        <v>0</v>
      </c>
      <c r="G28" s="805" t="s">
        <v>60</v>
      </c>
      <c r="H28" s="806"/>
      <c r="I28" s="115">
        <f>SUM(C27:C29)</f>
        <v>0</v>
      </c>
      <c r="J28" s="102"/>
    </row>
    <row r="29" spans="1:10" ht="12.75" customHeight="1">
      <c r="A29" s="805" t="s">
        <v>61</v>
      </c>
      <c r="B29" s="806"/>
      <c r="C29" s="115">
        <f>SUM('SO 09_Výkaz výměr'!AL12:AL97)+(F22+I22+F23+I23+I24+I25)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9" ht="13.8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9" ht="10.8" customHeight="1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algorithmName="SHA-512" hashValue="kIlfGeZkxu0mdtk57s50y3IFbSeCZYwckIbduFDE8hPOQM064S7mZJDkWVNxS3pPSkXPRou1OYTRfGEHPWwizA==" saltValue="yVKtgQMcQXXKYYIjC/MbZg==" spinCount="100000" sheet="1"/>
  <mergeCells count="78"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  <mergeCell ref="A20:B20"/>
    <mergeCell ref="A31:C31"/>
    <mergeCell ref="D31:F31"/>
    <mergeCell ref="G31:I31"/>
    <mergeCell ref="A32:C32"/>
    <mergeCell ref="D32:F32"/>
    <mergeCell ref="G32:I32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D20:E20"/>
    <mergeCell ref="A21:B21"/>
    <mergeCell ref="D21:E21"/>
    <mergeCell ref="A12:I12"/>
    <mergeCell ref="B13:C13"/>
    <mergeCell ref="E13:F13"/>
    <mergeCell ref="H13:I13"/>
    <mergeCell ref="D14:E16"/>
    <mergeCell ref="F14:F16"/>
    <mergeCell ref="G14:H16"/>
    <mergeCell ref="I14:I16"/>
    <mergeCell ref="D17:E17"/>
    <mergeCell ref="G17:H21"/>
    <mergeCell ref="I17:I21"/>
    <mergeCell ref="D18:E18"/>
    <mergeCell ref="D19:E19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41E2-B7B2-456E-9161-C8DB987744B6}">
  <sheetPr>
    <tabColor theme="4" tint="0.7999799847602844"/>
    <pageSetUpPr fitToPage="1"/>
  </sheetPr>
  <dimension ref="A1:BJ100"/>
  <sheetViews>
    <sheetView zoomScale="70" zoomScaleNormal="70" workbookViewId="0" topLeftCell="A1">
      <pane ySplit="11" topLeftCell="A66" activePane="bottomLeft" state="frozen"/>
      <selection pane="topLeft" activeCell="J23" sqref="J23"/>
      <selection pane="bottomLeft" activeCell="O82" sqref="O82"/>
    </sheetView>
  </sheetViews>
  <sheetFormatPr defaultColWidth="11.57421875" defaultRowHeight="15"/>
  <cols>
    <col min="1" max="1" width="3.7109375" style="121" customWidth="1"/>
    <col min="2" max="2" width="14.28125" style="121" customWidth="1"/>
    <col min="3" max="3" width="157.28125" style="121" customWidth="1"/>
    <col min="4" max="5" width="12.140625" style="121" customWidth="1"/>
    <col min="6" max="6" width="8.00390625" style="121" customWidth="1"/>
    <col min="7" max="7" width="12.7109375" style="121" customWidth="1"/>
    <col min="8" max="8" width="12.00390625" style="121" customWidth="1"/>
    <col min="9" max="11" width="14.28125" style="121" customWidth="1"/>
    <col min="12" max="12" width="14.7109375" style="121" customWidth="1"/>
    <col min="13" max="24" width="11.57421875" style="121" customWidth="1"/>
    <col min="25" max="62" width="9.7109375" style="121" hidden="1" customWidth="1"/>
    <col min="63" max="256" width="11.57421875" style="121" customWidth="1"/>
    <col min="257" max="257" width="3.7109375" style="121" customWidth="1"/>
    <col min="258" max="258" width="14.28125" style="121" customWidth="1"/>
    <col min="259" max="259" width="157.28125" style="121" customWidth="1"/>
    <col min="260" max="261" width="12.140625" style="121" customWidth="1"/>
    <col min="262" max="262" width="8.00390625" style="121" customWidth="1"/>
    <col min="263" max="263" width="12.7109375" style="121" customWidth="1"/>
    <col min="264" max="264" width="12.00390625" style="121" customWidth="1"/>
    <col min="265" max="267" width="14.28125" style="121" customWidth="1"/>
    <col min="268" max="268" width="14.7109375" style="121" customWidth="1"/>
    <col min="269" max="280" width="11.57421875" style="121" customWidth="1"/>
    <col min="281" max="318" width="11.57421875" style="121" hidden="1" customWidth="1"/>
    <col min="319" max="512" width="11.57421875" style="121" customWidth="1"/>
    <col min="513" max="513" width="3.7109375" style="121" customWidth="1"/>
    <col min="514" max="514" width="14.28125" style="121" customWidth="1"/>
    <col min="515" max="515" width="157.28125" style="121" customWidth="1"/>
    <col min="516" max="517" width="12.140625" style="121" customWidth="1"/>
    <col min="518" max="518" width="8.00390625" style="121" customWidth="1"/>
    <col min="519" max="519" width="12.7109375" style="121" customWidth="1"/>
    <col min="520" max="520" width="12.00390625" style="121" customWidth="1"/>
    <col min="521" max="523" width="14.28125" style="121" customWidth="1"/>
    <col min="524" max="524" width="14.7109375" style="121" customWidth="1"/>
    <col min="525" max="536" width="11.57421875" style="121" customWidth="1"/>
    <col min="537" max="574" width="11.57421875" style="121" hidden="1" customWidth="1"/>
    <col min="575" max="768" width="11.57421875" style="121" customWidth="1"/>
    <col min="769" max="769" width="3.7109375" style="121" customWidth="1"/>
    <col min="770" max="770" width="14.28125" style="121" customWidth="1"/>
    <col min="771" max="771" width="157.28125" style="121" customWidth="1"/>
    <col min="772" max="773" width="12.140625" style="121" customWidth="1"/>
    <col min="774" max="774" width="8.00390625" style="121" customWidth="1"/>
    <col min="775" max="775" width="12.7109375" style="121" customWidth="1"/>
    <col min="776" max="776" width="12.00390625" style="121" customWidth="1"/>
    <col min="777" max="779" width="14.28125" style="121" customWidth="1"/>
    <col min="780" max="780" width="14.7109375" style="121" customWidth="1"/>
    <col min="781" max="792" width="11.57421875" style="121" customWidth="1"/>
    <col min="793" max="830" width="11.57421875" style="121" hidden="1" customWidth="1"/>
    <col min="831" max="1024" width="11.57421875" style="121" customWidth="1"/>
    <col min="1025" max="1025" width="3.7109375" style="121" customWidth="1"/>
    <col min="1026" max="1026" width="14.28125" style="121" customWidth="1"/>
    <col min="1027" max="1027" width="157.28125" style="121" customWidth="1"/>
    <col min="1028" max="1029" width="12.140625" style="121" customWidth="1"/>
    <col min="1030" max="1030" width="8.00390625" style="121" customWidth="1"/>
    <col min="1031" max="1031" width="12.7109375" style="121" customWidth="1"/>
    <col min="1032" max="1032" width="12.00390625" style="121" customWidth="1"/>
    <col min="1033" max="1035" width="14.28125" style="121" customWidth="1"/>
    <col min="1036" max="1036" width="14.7109375" style="121" customWidth="1"/>
    <col min="1037" max="1048" width="11.57421875" style="121" customWidth="1"/>
    <col min="1049" max="1086" width="11.57421875" style="121" hidden="1" customWidth="1"/>
    <col min="1087" max="1280" width="11.57421875" style="121" customWidth="1"/>
    <col min="1281" max="1281" width="3.7109375" style="121" customWidth="1"/>
    <col min="1282" max="1282" width="14.28125" style="121" customWidth="1"/>
    <col min="1283" max="1283" width="157.28125" style="121" customWidth="1"/>
    <col min="1284" max="1285" width="12.140625" style="121" customWidth="1"/>
    <col min="1286" max="1286" width="8.00390625" style="121" customWidth="1"/>
    <col min="1287" max="1287" width="12.7109375" style="121" customWidth="1"/>
    <col min="1288" max="1288" width="12.00390625" style="121" customWidth="1"/>
    <col min="1289" max="1291" width="14.28125" style="121" customWidth="1"/>
    <col min="1292" max="1292" width="14.7109375" style="121" customWidth="1"/>
    <col min="1293" max="1304" width="11.57421875" style="121" customWidth="1"/>
    <col min="1305" max="1342" width="11.57421875" style="121" hidden="1" customWidth="1"/>
    <col min="1343" max="1536" width="11.57421875" style="121" customWidth="1"/>
    <col min="1537" max="1537" width="3.7109375" style="121" customWidth="1"/>
    <col min="1538" max="1538" width="14.28125" style="121" customWidth="1"/>
    <col min="1539" max="1539" width="157.28125" style="121" customWidth="1"/>
    <col min="1540" max="1541" width="12.140625" style="121" customWidth="1"/>
    <col min="1542" max="1542" width="8.00390625" style="121" customWidth="1"/>
    <col min="1543" max="1543" width="12.7109375" style="121" customWidth="1"/>
    <col min="1544" max="1544" width="12.00390625" style="121" customWidth="1"/>
    <col min="1545" max="1547" width="14.28125" style="121" customWidth="1"/>
    <col min="1548" max="1548" width="14.7109375" style="121" customWidth="1"/>
    <col min="1549" max="1560" width="11.57421875" style="121" customWidth="1"/>
    <col min="1561" max="1598" width="11.57421875" style="121" hidden="1" customWidth="1"/>
    <col min="1599" max="1792" width="11.57421875" style="121" customWidth="1"/>
    <col min="1793" max="1793" width="3.7109375" style="121" customWidth="1"/>
    <col min="1794" max="1794" width="14.28125" style="121" customWidth="1"/>
    <col min="1795" max="1795" width="157.28125" style="121" customWidth="1"/>
    <col min="1796" max="1797" width="12.140625" style="121" customWidth="1"/>
    <col min="1798" max="1798" width="8.00390625" style="121" customWidth="1"/>
    <col min="1799" max="1799" width="12.7109375" style="121" customWidth="1"/>
    <col min="1800" max="1800" width="12.00390625" style="121" customWidth="1"/>
    <col min="1801" max="1803" width="14.28125" style="121" customWidth="1"/>
    <col min="1804" max="1804" width="14.7109375" style="121" customWidth="1"/>
    <col min="1805" max="1816" width="11.57421875" style="121" customWidth="1"/>
    <col min="1817" max="1854" width="11.57421875" style="121" hidden="1" customWidth="1"/>
    <col min="1855" max="2048" width="11.57421875" style="121" customWidth="1"/>
    <col min="2049" max="2049" width="3.7109375" style="121" customWidth="1"/>
    <col min="2050" max="2050" width="14.28125" style="121" customWidth="1"/>
    <col min="2051" max="2051" width="157.28125" style="121" customWidth="1"/>
    <col min="2052" max="2053" width="12.140625" style="121" customWidth="1"/>
    <col min="2054" max="2054" width="8.00390625" style="121" customWidth="1"/>
    <col min="2055" max="2055" width="12.7109375" style="121" customWidth="1"/>
    <col min="2056" max="2056" width="12.00390625" style="121" customWidth="1"/>
    <col min="2057" max="2059" width="14.28125" style="121" customWidth="1"/>
    <col min="2060" max="2060" width="14.7109375" style="121" customWidth="1"/>
    <col min="2061" max="2072" width="11.57421875" style="121" customWidth="1"/>
    <col min="2073" max="2110" width="11.57421875" style="121" hidden="1" customWidth="1"/>
    <col min="2111" max="2304" width="11.57421875" style="121" customWidth="1"/>
    <col min="2305" max="2305" width="3.7109375" style="121" customWidth="1"/>
    <col min="2306" max="2306" width="14.28125" style="121" customWidth="1"/>
    <col min="2307" max="2307" width="157.28125" style="121" customWidth="1"/>
    <col min="2308" max="2309" width="12.140625" style="121" customWidth="1"/>
    <col min="2310" max="2310" width="8.00390625" style="121" customWidth="1"/>
    <col min="2311" max="2311" width="12.7109375" style="121" customWidth="1"/>
    <col min="2312" max="2312" width="12.00390625" style="121" customWidth="1"/>
    <col min="2313" max="2315" width="14.28125" style="121" customWidth="1"/>
    <col min="2316" max="2316" width="14.7109375" style="121" customWidth="1"/>
    <col min="2317" max="2328" width="11.57421875" style="121" customWidth="1"/>
    <col min="2329" max="2366" width="11.57421875" style="121" hidden="1" customWidth="1"/>
    <col min="2367" max="2560" width="11.57421875" style="121" customWidth="1"/>
    <col min="2561" max="2561" width="3.7109375" style="121" customWidth="1"/>
    <col min="2562" max="2562" width="14.28125" style="121" customWidth="1"/>
    <col min="2563" max="2563" width="157.28125" style="121" customWidth="1"/>
    <col min="2564" max="2565" width="12.140625" style="121" customWidth="1"/>
    <col min="2566" max="2566" width="8.00390625" style="121" customWidth="1"/>
    <col min="2567" max="2567" width="12.7109375" style="121" customWidth="1"/>
    <col min="2568" max="2568" width="12.00390625" style="121" customWidth="1"/>
    <col min="2569" max="2571" width="14.28125" style="121" customWidth="1"/>
    <col min="2572" max="2572" width="14.7109375" style="121" customWidth="1"/>
    <col min="2573" max="2584" width="11.57421875" style="121" customWidth="1"/>
    <col min="2585" max="2622" width="11.57421875" style="121" hidden="1" customWidth="1"/>
    <col min="2623" max="2816" width="11.57421875" style="121" customWidth="1"/>
    <col min="2817" max="2817" width="3.7109375" style="121" customWidth="1"/>
    <col min="2818" max="2818" width="14.28125" style="121" customWidth="1"/>
    <col min="2819" max="2819" width="157.28125" style="121" customWidth="1"/>
    <col min="2820" max="2821" width="12.140625" style="121" customWidth="1"/>
    <col min="2822" max="2822" width="8.00390625" style="121" customWidth="1"/>
    <col min="2823" max="2823" width="12.7109375" style="121" customWidth="1"/>
    <col min="2824" max="2824" width="12.00390625" style="121" customWidth="1"/>
    <col min="2825" max="2827" width="14.28125" style="121" customWidth="1"/>
    <col min="2828" max="2828" width="14.7109375" style="121" customWidth="1"/>
    <col min="2829" max="2840" width="11.57421875" style="121" customWidth="1"/>
    <col min="2841" max="2878" width="11.57421875" style="121" hidden="1" customWidth="1"/>
    <col min="2879" max="3072" width="11.57421875" style="121" customWidth="1"/>
    <col min="3073" max="3073" width="3.7109375" style="121" customWidth="1"/>
    <col min="3074" max="3074" width="14.28125" style="121" customWidth="1"/>
    <col min="3075" max="3075" width="157.28125" style="121" customWidth="1"/>
    <col min="3076" max="3077" width="12.140625" style="121" customWidth="1"/>
    <col min="3078" max="3078" width="8.00390625" style="121" customWidth="1"/>
    <col min="3079" max="3079" width="12.7109375" style="121" customWidth="1"/>
    <col min="3080" max="3080" width="12.00390625" style="121" customWidth="1"/>
    <col min="3081" max="3083" width="14.28125" style="121" customWidth="1"/>
    <col min="3084" max="3084" width="14.7109375" style="121" customWidth="1"/>
    <col min="3085" max="3096" width="11.57421875" style="121" customWidth="1"/>
    <col min="3097" max="3134" width="11.57421875" style="121" hidden="1" customWidth="1"/>
    <col min="3135" max="3328" width="11.57421875" style="121" customWidth="1"/>
    <col min="3329" max="3329" width="3.7109375" style="121" customWidth="1"/>
    <col min="3330" max="3330" width="14.28125" style="121" customWidth="1"/>
    <col min="3331" max="3331" width="157.28125" style="121" customWidth="1"/>
    <col min="3332" max="3333" width="12.140625" style="121" customWidth="1"/>
    <col min="3334" max="3334" width="8.00390625" style="121" customWidth="1"/>
    <col min="3335" max="3335" width="12.7109375" style="121" customWidth="1"/>
    <col min="3336" max="3336" width="12.00390625" style="121" customWidth="1"/>
    <col min="3337" max="3339" width="14.28125" style="121" customWidth="1"/>
    <col min="3340" max="3340" width="14.7109375" style="121" customWidth="1"/>
    <col min="3341" max="3352" width="11.57421875" style="121" customWidth="1"/>
    <col min="3353" max="3390" width="11.57421875" style="121" hidden="1" customWidth="1"/>
    <col min="3391" max="3584" width="11.57421875" style="121" customWidth="1"/>
    <col min="3585" max="3585" width="3.7109375" style="121" customWidth="1"/>
    <col min="3586" max="3586" width="14.28125" style="121" customWidth="1"/>
    <col min="3587" max="3587" width="157.28125" style="121" customWidth="1"/>
    <col min="3588" max="3589" width="12.140625" style="121" customWidth="1"/>
    <col min="3590" max="3590" width="8.00390625" style="121" customWidth="1"/>
    <col min="3591" max="3591" width="12.7109375" style="121" customWidth="1"/>
    <col min="3592" max="3592" width="12.00390625" style="121" customWidth="1"/>
    <col min="3593" max="3595" width="14.28125" style="121" customWidth="1"/>
    <col min="3596" max="3596" width="14.7109375" style="121" customWidth="1"/>
    <col min="3597" max="3608" width="11.57421875" style="121" customWidth="1"/>
    <col min="3609" max="3646" width="11.57421875" style="121" hidden="1" customWidth="1"/>
    <col min="3647" max="3840" width="11.57421875" style="121" customWidth="1"/>
    <col min="3841" max="3841" width="3.7109375" style="121" customWidth="1"/>
    <col min="3842" max="3842" width="14.28125" style="121" customWidth="1"/>
    <col min="3843" max="3843" width="157.28125" style="121" customWidth="1"/>
    <col min="3844" max="3845" width="12.140625" style="121" customWidth="1"/>
    <col min="3846" max="3846" width="8.00390625" style="121" customWidth="1"/>
    <col min="3847" max="3847" width="12.7109375" style="121" customWidth="1"/>
    <col min="3848" max="3848" width="12.00390625" style="121" customWidth="1"/>
    <col min="3849" max="3851" width="14.28125" style="121" customWidth="1"/>
    <col min="3852" max="3852" width="14.7109375" style="121" customWidth="1"/>
    <col min="3853" max="3864" width="11.57421875" style="121" customWidth="1"/>
    <col min="3865" max="3902" width="11.57421875" style="121" hidden="1" customWidth="1"/>
    <col min="3903" max="4096" width="11.57421875" style="121" customWidth="1"/>
    <col min="4097" max="4097" width="3.7109375" style="121" customWidth="1"/>
    <col min="4098" max="4098" width="14.28125" style="121" customWidth="1"/>
    <col min="4099" max="4099" width="157.28125" style="121" customWidth="1"/>
    <col min="4100" max="4101" width="12.140625" style="121" customWidth="1"/>
    <col min="4102" max="4102" width="8.00390625" style="121" customWidth="1"/>
    <col min="4103" max="4103" width="12.7109375" style="121" customWidth="1"/>
    <col min="4104" max="4104" width="12.00390625" style="121" customWidth="1"/>
    <col min="4105" max="4107" width="14.28125" style="121" customWidth="1"/>
    <col min="4108" max="4108" width="14.7109375" style="121" customWidth="1"/>
    <col min="4109" max="4120" width="11.57421875" style="121" customWidth="1"/>
    <col min="4121" max="4158" width="11.57421875" style="121" hidden="1" customWidth="1"/>
    <col min="4159" max="4352" width="11.57421875" style="121" customWidth="1"/>
    <col min="4353" max="4353" width="3.7109375" style="121" customWidth="1"/>
    <col min="4354" max="4354" width="14.28125" style="121" customWidth="1"/>
    <col min="4355" max="4355" width="157.28125" style="121" customWidth="1"/>
    <col min="4356" max="4357" width="12.140625" style="121" customWidth="1"/>
    <col min="4358" max="4358" width="8.00390625" style="121" customWidth="1"/>
    <col min="4359" max="4359" width="12.7109375" style="121" customWidth="1"/>
    <col min="4360" max="4360" width="12.00390625" style="121" customWidth="1"/>
    <col min="4361" max="4363" width="14.28125" style="121" customWidth="1"/>
    <col min="4364" max="4364" width="14.7109375" style="121" customWidth="1"/>
    <col min="4365" max="4376" width="11.57421875" style="121" customWidth="1"/>
    <col min="4377" max="4414" width="11.57421875" style="121" hidden="1" customWidth="1"/>
    <col min="4415" max="4608" width="11.57421875" style="121" customWidth="1"/>
    <col min="4609" max="4609" width="3.7109375" style="121" customWidth="1"/>
    <col min="4610" max="4610" width="14.28125" style="121" customWidth="1"/>
    <col min="4611" max="4611" width="157.28125" style="121" customWidth="1"/>
    <col min="4612" max="4613" width="12.140625" style="121" customWidth="1"/>
    <col min="4614" max="4614" width="8.00390625" style="121" customWidth="1"/>
    <col min="4615" max="4615" width="12.7109375" style="121" customWidth="1"/>
    <col min="4616" max="4616" width="12.00390625" style="121" customWidth="1"/>
    <col min="4617" max="4619" width="14.28125" style="121" customWidth="1"/>
    <col min="4620" max="4620" width="14.7109375" style="121" customWidth="1"/>
    <col min="4621" max="4632" width="11.57421875" style="121" customWidth="1"/>
    <col min="4633" max="4670" width="11.57421875" style="121" hidden="1" customWidth="1"/>
    <col min="4671" max="4864" width="11.57421875" style="121" customWidth="1"/>
    <col min="4865" max="4865" width="3.7109375" style="121" customWidth="1"/>
    <col min="4866" max="4866" width="14.28125" style="121" customWidth="1"/>
    <col min="4867" max="4867" width="157.28125" style="121" customWidth="1"/>
    <col min="4868" max="4869" width="12.140625" style="121" customWidth="1"/>
    <col min="4870" max="4870" width="8.00390625" style="121" customWidth="1"/>
    <col min="4871" max="4871" width="12.7109375" style="121" customWidth="1"/>
    <col min="4872" max="4872" width="12.00390625" style="121" customWidth="1"/>
    <col min="4873" max="4875" width="14.28125" style="121" customWidth="1"/>
    <col min="4876" max="4876" width="14.7109375" style="121" customWidth="1"/>
    <col min="4877" max="4888" width="11.57421875" style="121" customWidth="1"/>
    <col min="4889" max="4926" width="11.57421875" style="121" hidden="1" customWidth="1"/>
    <col min="4927" max="5120" width="11.57421875" style="121" customWidth="1"/>
    <col min="5121" max="5121" width="3.7109375" style="121" customWidth="1"/>
    <col min="5122" max="5122" width="14.28125" style="121" customWidth="1"/>
    <col min="5123" max="5123" width="157.28125" style="121" customWidth="1"/>
    <col min="5124" max="5125" width="12.140625" style="121" customWidth="1"/>
    <col min="5126" max="5126" width="8.00390625" style="121" customWidth="1"/>
    <col min="5127" max="5127" width="12.7109375" style="121" customWidth="1"/>
    <col min="5128" max="5128" width="12.00390625" style="121" customWidth="1"/>
    <col min="5129" max="5131" width="14.28125" style="121" customWidth="1"/>
    <col min="5132" max="5132" width="14.7109375" style="121" customWidth="1"/>
    <col min="5133" max="5144" width="11.57421875" style="121" customWidth="1"/>
    <col min="5145" max="5182" width="11.57421875" style="121" hidden="1" customWidth="1"/>
    <col min="5183" max="5376" width="11.57421875" style="121" customWidth="1"/>
    <col min="5377" max="5377" width="3.7109375" style="121" customWidth="1"/>
    <col min="5378" max="5378" width="14.28125" style="121" customWidth="1"/>
    <col min="5379" max="5379" width="157.28125" style="121" customWidth="1"/>
    <col min="5380" max="5381" width="12.140625" style="121" customWidth="1"/>
    <col min="5382" max="5382" width="8.00390625" style="121" customWidth="1"/>
    <col min="5383" max="5383" width="12.7109375" style="121" customWidth="1"/>
    <col min="5384" max="5384" width="12.00390625" style="121" customWidth="1"/>
    <col min="5385" max="5387" width="14.28125" style="121" customWidth="1"/>
    <col min="5388" max="5388" width="14.7109375" style="121" customWidth="1"/>
    <col min="5389" max="5400" width="11.57421875" style="121" customWidth="1"/>
    <col min="5401" max="5438" width="11.57421875" style="121" hidden="1" customWidth="1"/>
    <col min="5439" max="5632" width="11.57421875" style="121" customWidth="1"/>
    <col min="5633" max="5633" width="3.7109375" style="121" customWidth="1"/>
    <col min="5634" max="5634" width="14.28125" style="121" customWidth="1"/>
    <col min="5635" max="5635" width="157.28125" style="121" customWidth="1"/>
    <col min="5636" max="5637" width="12.140625" style="121" customWidth="1"/>
    <col min="5638" max="5638" width="8.00390625" style="121" customWidth="1"/>
    <col min="5639" max="5639" width="12.7109375" style="121" customWidth="1"/>
    <col min="5640" max="5640" width="12.00390625" style="121" customWidth="1"/>
    <col min="5641" max="5643" width="14.28125" style="121" customWidth="1"/>
    <col min="5644" max="5644" width="14.7109375" style="121" customWidth="1"/>
    <col min="5645" max="5656" width="11.57421875" style="121" customWidth="1"/>
    <col min="5657" max="5694" width="11.57421875" style="121" hidden="1" customWidth="1"/>
    <col min="5695" max="5888" width="11.57421875" style="121" customWidth="1"/>
    <col min="5889" max="5889" width="3.7109375" style="121" customWidth="1"/>
    <col min="5890" max="5890" width="14.28125" style="121" customWidth="1"/>
    <col min="5891" max="5891" width="157.28125" style="121" customWidth="1"/>
    <col min="5892" max="5893" width="12.140625" style="121" customWidth="1"/>
    <col min="5894" max="5894" width="8.00390625" style="121" customWidth="1"/>
    <col min="5895" max="5895" width="12.7109375" style="121" customWidth="1"/>
    <col min="5896" max="5896" width="12.00390625" style="121" customWidth="1"/>
    <col min="5897" max="5899" width="14.28125" style="121" customWidth="1"/>
    <col min="5900" max="5900" width="14.7109375" style="121" customWidth="1"/>
    <col min="5901" max="5912" width="11.57421875" style="121" customWidth="1"/>
    <col min="5913" max="5950" width="11.57421875" style="121" hidden="1" customWidth="1"/>
    <col min="5951" max="6144" width="11.57421875" style="121" customWidth="1"/>
    <col min="6145" max="6145" width="3.7109375" style="121" customWidth="1"/>
    <col min="6146" max="6146" width="14.28125" style="121" customWidth="1"/>
    <col min="6147" max="6147" width="157.28125" style="121" customWidth="1"/>
    <col min="6148" max="6149" width="12.140625" style="121" customWidth="1"/>
    <col min="6150" max="6150" width="8.00390625" style="121" customWidth="1"/>
    <col min="6151" max="6151" width="12.7109375" style="121" customWidth="1"/>
    <col min="6152" max="6152" width="12.00390625" style="121" customWidth="1"/>
    <col min="6153" max="6155" width="14.28125" style="121" customWidth="1"/>
    <col min="6156" max="6156" width="14.7109375" style="121" customWidth="1"/>
    <col min="6157" max="6168" width="11.57421875" style="121" customWidth="1"/>
    <col min="6169" max="6206" width="11.57421875" style="121" hidden="1" customWidth="1"/>
    <col min="6207" max="6400" width="11.57421875" style="121" customWidth="1"/>
    <col min="6401" max="6401" width="3.7109375" style="121" customWidth="1"/>
    <col min="6402" max="6402" width="14.28125" style="121" customWidth="1"/>
    <col min="6403" max="6403" width="157.28125" style="121" customWidth="1"/>
    <col min="6404" max="6405" width="12.140625" style="121" customWidth="1"/>
    <col min="6406" max="6406" width="8.00390625" style="121" customWidth="1"/>
    <col min="6407" max="6407" width="12.7109375" style="121" customWidth="1"/>
    <col min="6408" max="6408" width="12.00390625" style="121" customWidth="1"/>
    <col min="6409" max="6411" width="14.28125" style="121" customWidth="1"/>
    <col min="6412" max="6412" width="14.7109375" style="121" customWidth="1"/>
    <col min="6413" max="6424" width="11.57421875" style="121" customWidth="1"/>
    <col min="6425" max="6462" width="11.57421875" style="121" hidden="1" customWidth="1"/>
    <col min="6463" max="6656" width="11.57421875" style="121" customWidth="1"/>
    <col min="6657" max="6657" width="3.7109375" style="121" customWidth="1"/>
    <col min="6658" max="6658" width="14.28125" style="121" customWidth="1"/>
    <col min="6659" max="6659" width="157.28125" style="121" customWidth="1"/>
    <col min="6660" max="6661" width="12.140625" style="121" customWidth="1"/>
    <col min="6662" max="6662" width="8.00390625" style="121" customWidth="1"/>
    <col min="6663" max="6663" width="12.7109375" style="121" customWidth="1"/>
    <col min="6664" max="6664" width="12.00390625" style="121" customWidth="1"/>
    <col min="6665" max="6667" width="14.28125" style="121" customWidth="1"/>
    <col min="6668" max="6668" width="14.7109375" style="121" customWidth="1"/>
    <col min="6669" max="6680" width="11.57421875" style="121" customWidth="1"/>
    <col min="6681" max="6718" width="11.57421875" style="121" hidden="1" customWidth="1"/>
    <col min="6719" max="6912" width="11.57421875" style="121" customWidth="1"/>
    <col min="6913" max="6913" width="3.7109375" style="121" customWidth="1"/>
    <col min="6914" max="6914" width="14.28125" style="121" customWidth="1"/>
    <col min="6915" max="6915" width="157.28125" style="121" customWidth="1"/>
    <col min="6916" max="6917" width="12.140625" style="121" customWidth="1"/>
    <col min="6918" max="6918" width="8.00390625" style="121" customWidth="1"/>
    <col min="6919" max="6919" width="12.7109375" style="121" customWidth="1"/>
    <col min="6920" max="6920" width="12.00390625" style="121" customWidth="1"/>
    <col min="6921" max="6923" width="14.28125" style="121" customWidth="1"/>
    <col min="6924" max="6924" width="14.7109375" style="121" customWidth="1"/>
    <col min="6925" max="6936" width="11.57421875" style="121" customWidth="1"/>
    <col min="6937" max="6974" width="11.57421875" style="121" hidden="1" customWidth="1"/>
    <col min="6975" max="7168" width="11.57421875" style="121" customWidth="1"/>
    <col min="7169" max="7169" width="3.7109375" style="121" customWidth="1"/>
    <col min="7170" max="7170" width="14.28125" style="121" customWidth="1"/>
    <col min="7171" max="7171" width="157.28125" style="121" customWidth="1"/>
    <col min="7172" max="7173" width="12.140625" style="121" customWidth="1"/>
    <col min="7174" max="7174" width="8.00390625" style="121" customWidth="1"/>
    <col min="7175" max="7175" width="12.7109375" style="121" customWidth="1"/>
    <col min="7176" max="7176" width="12.00390625" style="121" customWidth="1"/>
    <col min="7177" max="7179" width="14.28125" style="121" customWidth="1"/>
    <col min="7180" max="7180" width="14.7109375" style="121" customWidth="1"/>
    <col min="7181" max="7192" width="11.57421875" style="121" customWidth="1"/>
    <col min="7193" max="7230" width="11.57421875" style="121" hidden="1" customWidth="1"/>
    <col min="7231" max="7424" width="11.57421875" style="121" customWidth="1"/>
    <col min="7425" max="7425" width="3.7109375" style="121" customWidth="1"/>
    <col min="7426" max="7426" width="14.28125" style="121" customWidth="1"/>
    <col min="7427" max="7427" width="157.28125" style="121" customWidth="1"/>
    <col min="7428" max="7429" width="12.140625" style="121" customWidth="1"/>
    <col min="7430" max="7430" width="8.00390625" style="121" customWidth="1"/>
    <col min="7431" max="7431" width="12.7109375" style="121" customWidth="1"/>
    <col min="7432" max="7432" width="12.00390625" style="121" customWidth="1"/>
    <col min="7433" max="7435" width="14.28125" style="121" customWidth="1"/>
    <col min="7436" max="7436" width="14.7109375" style="121" customWidth="1"/>
    <col min="7437" max="7448" width="11.57421875" style="121" customWidth="1"/>
    <col min="7449" max="7486" width="11.57421875" style="121" hidden="1" customWidth="1"/>
    <col min="7487" max="7680" width="11.57421875" style="121" customWidth="1"/>
    <col min="7681" max="7681" width="3.7109375" style="121" customWidth="1"/>
    <col min="7682" max="7682" width="14.28125" style="121" customWidth="1"/>
    <col min="7683" max="7683" width="157.28125" style="121" customWidth="1"/>
    <col min="7684" max="7685" width="12.140625" style="121" customWidth="1"/>
    <col min="7686" max="7686" width="8.00390625" style="121" customWidth="1"/>
    <col min="7687" max="7687" width="12.7109375" style="121" customWidth="1"/>
    <col min="7688" max="7688" width="12.00390625" style="121" customWidth="1"/>
    <col min="7689" max="7691" width="14.28125" style="121" customWidth="1"/>
    <col min="7692" max="7692" width="14.7109375" style="121" customWidth="1"/>
    <col min="7693" max="7704" width="11.57421875" style="121" customWidth="1"/>
    <col min="7705" max="7742" width="11.57421875" style="121" hidden="1" customWidth="1"/>
    <col min="7743" max="7936" width="11.57421875" style="121" customWidth="1"/>
    <col min="7937" max="7937" width="3.7109375" style="121" customWidth="1"/>
    <col min="7938" max="7938" width="14.28125" style="121" customWidth="1"/>
    <col min="7939" max="7939" width="157.28125" style="121" customWidth="1"/>
    <col min="7940" max="7941" width="12.140625" style="121" customWidth="1"/>
    <col min="7942" max="7942" width="8.00390625" style="121" customWidth="1"/>
    <col min="7943" max="7943" width="12.7109375" style="121" customWidth="1"/>
    <col min="7944" max="7944" width="12.00390625" style="121" customWidth="1"/>
    <col min="7945" max="7947" width="14.28125" style="121" customWidth="1"/>
    <col min="7948" max="7948" width="14.7109375" style="121" customWidth="1"/>
    <col min="7949" max="7960" width="11.57421875" style="121" customWidth="1"/>
    <col min="7961" max="7998" width="11.57421875" style="121" hidden="1" customWidth="1"/>
    <col min="7999" max="8192" width="11.57421875" style="121" customWidth="1"/>
    <col min="8193" max="8193" width="3.7109375" style="121" customWidth="1"/>
    <col min="8194" max="8194" width="14.28125" style="121" customWidth="1"/>
    <col min="8195" max="8195" width="157.28125" style="121" customWidth="1"/>
    <col min="8196" max="8197" width="12.140625" style="121" customWidth="1"/>
    <col min="8198" max="8198" width="8.00390625" style="121" customWidth="1"/>
    <col min="8199" max="8199" width="12.7109375" style="121" customWidth="1"/>
    <col min="8200" max="8200" width="12.00390625" style="121" customWidth="1"/>
    <col min="8201" max="8203" width="14.28125" style="121" customWidth="1"/>
    <col min="8204" max="8204" width="14.7109375" style="121" customWidth="1"/>
    <col min="8205" max="8216" width="11.57421875" style="121" customWidth="1"/>
    <col min="8217" max="8254" width="11.57421875" style="121" hidden="1" customWidth="1"/>
    <col min="8255" max="8448" width="11.57421875" style="121" customWidth="1"/>
    <col min="8449" max="8449" width="3.7109375" style="121" customWidth="1"/>
    <col min="8450" max="8450" width="14.28125" style="121" customWidth="1"/>
    <col min="8451" max="8451" width="157.28125" style="121" customWidth="1"/>
    <col min="8452" max="8453" width="12.140625" style="121" customWidth="1"/>
    <col min="8454" max="8454" width="8.00390625" style="121" customWidth="1"/>
    <col min="8455" max="8455" width="12.7109375" style="121" customWidth="1"/>
    <col min="8456" max="8456" width="12.00390625" style="121" customWidth="1"/>
    <col min="8457" max="8459" width="14.28125" style="121" customWidth="1"/>
    <col min="8460" max="8460" width="14.7109375" style="121" customWidth="1"/>
    <col min="8461" max="8472" width="11.57421875" style="121" customWidth="1"/>
    <col min="8473" max="8510" width="11.57421875" style="121" hidden="1" customWidth="1"/>
    <col min="8511" max="8704" width="11.57421875" style="121" customWidth="1"/>
    <col min="8705" max="8705" width="3.7109375" style="121" customWidth="1"/>
    <col min="8706" max="8706" width="14.28125" style="121" customWidth="1"/>
    <col min="8707" max="8707" width="157.28125" style="121" customWidth="1"/>
    <col min="8708" max="8709" width="12.140625" style="121" customWidth="1"/>
    <col min="8710" max="8710" width="8.00390625" style="121" customWidth="1"/>
    <col min="8711" max="8711" width="12.7109375" style="121" customWidth="1"/>
    <col min="8712" max="8712" width="12.00390625" style="121" customWidth="1"/>
    <col min="8713" max="8715" width="14.28125" style="121" customWidth="1"/>
    <col min="8716" max="8716" width="14.7109375" style="121" customWidth="1"/>
    <col min="8717" max="8728" width="11.57421875" style="121" customWidth="1"/>
    <col min="8729" max="8766" width="11.57421875" style="121" hidden="1" customWidth="1"/>
    <col min="8767" max="8960" width="11.57421875" style="121" customWidth="1"/>
    <col min="8961" max="8961" width="3.7109375" style="121" customWidth="1"/>
    <col min="8962" max="8962" width="14.28125" style="121" customWidth="1"/>
    <col min="8963" max="8963" width="157.28125" style="121" customWidth="1"/>
    <col min="8964" max="8965" width="12.140625" style="121" customWidth="1"/>
    <col min="8966" max="8966" width="8.00390625" style="121" customWidth="1"/>
    <col min="8967" max="8967" width="12.7109375" style="121" customWidth="1"/>
    <col min="8968" max="8968" width="12.00390625" style="121" customWidth="1"/>
    <col min="8969" max="8971" width="14.28125" style="121" customWidth="1"/>
    <col min="8972" max="8972" width="14.7109375" style="121" customWidth="1"/>
    <col min="8973" max="8984" width="11.57421875" style="121" customWidth="1"/>
    <col min="8985" max="9022" width="11.57421875" style="121" hidden="1" customWidth="1"/>
    <col min="9023" max="9216" width="11.57421875" style="121" customWidth="1"/>
    <col min="9217" max="9217" width="3.7109375" style="121" customWidth="1"/>
    <col min="9218" max="9218" width="14.28125" style="121" customWidth="1"/>
    <col min="9219" max="9219" width="157.28125" style="121" customWidth="1"/>
    <col min="9220" max="9221" width="12.140625" style="121" customWidth="1"/>
    <col min="9222" max="9222" width="8.00390625" style="121" customWidth="1"/>
    <col min="9223" max="9223" width="12.7109375" style="121" customWidth="1"/>
    <col min="9224" max="9224" width="12.00390625" style="121" customWidth="1"/>
    <col min="9225" max="9227" width="14.28125" style="121" customWidth="1"/>
    <col min="9228" max="9228" width="14.7109375" style="121" customWidth="1"/>
    <col min="9229" max="9240" width="11.57421875" style="121" customWidth="1"/>
    <col min="9241" max="9278" width="11.57421875" style="121" hidden="1" customWidth="1"/>
    <col min="9279" max="9472" width="11.57421875" style="121" customWidth="1"/>
    <col min="9473" max="9473" width="3.7109375" style="121" customWidth="1"/>
    <col min="9474" max="9474" width="14.28125" style="121" customWidth="1"/>
    <col min="9475" max="9475" width="157.28125" style="121" customWidth="1"/>
    <col min="9476" max="9477" width="12.140625" style="121" customWidth="1"/>
    <col min="9478" max="9478" width="8.00390625" style="121" customWidth="1"/>
    <col min="9479" max="9479" width="12.7109375" style="121" customWidth="1"/>
    <col min="9480" max="9480" width="12.00390625" style="121" customWidth="1"/>
    <col min="9481" max="9483" width="14.28125" style="121" customWidth="1"/>
    <col min="9484" max="9484" width="14.7109375" style="121" customWidth="1"/>
    <col min="9485" max="9496" width="11.57421875" style="121" customWidth="1"/>
    <col min="9497" max="9534" width="11.57421875" style="121" hidden="1" customWidth="1"/>
    <col min="9535" max="9728" width="11.57421875" style="121" customWidth="1"/>
    <col min="9729" max="9729" width="3.7109375" style="121" customWidth="1"/>
    <col min="9730" max="9730" width="14.28125" style="121" customWidth="1"/>
    <col min="9731" max="9731" width="157.28125" style="121" customWidth="1"/>
    <col min="9732" max="9733" width="12.140625" style="121" customWidth="1"/>
    <col min="9734" max="9734" width="8.00390625" style="121" customWidth="1"/>
    <col min="9735" max="9735" width="12.7109375" style="121" customWidth="1"/>
    <col min="9736" max="9736" width="12.00390625" style="121" customWidth="1"/>
    <col min="9737" max="9739" width="14.28125" style="121" customWidth="1"/>
    <col min="9740" max="9740" width="14.7109375" style="121" customWidth="1"/>
    <col min="9741" max="9752" width="11.57421875" style="121" customWidth="1"/>
    <col min="9753" max="9790" width="11.57421875" style="121" hidden="1" customWidth="1"/>
    <col min="9791" max="9984" width="11.57421875" style="121" customWidth="1"/>
    <col min="9985" max="9985" width="3.7109375" style="121" customWidth="1"/>
    <col min="9986" max="9986" width="14.28125" style="121" customWidth="1"/>
    <col min="9987" max="9987" width="157.28125" style="121" customWidth="1"/>
    <col min="9988" max="9989" width="12.140625" style="121" customWidth="1"/>
    <col min="9990" max="9990" width="8.00390625" style="121" customWidth="1"/>
    <col min="9991" max="9991" width="12.7109375" style="121" customWidth="1"/>
    <col min="9992" max="9992" width="12.00390625" style="121" customWidth="1"/>
    <col min="9993" max="9995" width="14.28125" style="121" customWidth="1"/>
    <col min="9996" max="9996" width="14.7109375" style="121" customWidth="1"/>
    <col min="9997" max="10008" width="11.57421875" style="121" customWidth="1"/>
    <col min="10009" max="10046" width="11.57421875" style="121" hidden="1" customWidth="1"/>
    <col min="10047" max="10240" width="11.57421875" style="121" customWidth="1"/>
    <col min="10241" max="10241" width="3.7109375" style="121" customWidth="1"/>
    <col min="10242" max="10242" width="14.28125" style="121" customWidth="1"/>
    <col min="10243" max="10243" width="157.28125" style="121" customWidth="1"/>
    <col min="10244" max="10245" width="12.140625" style="121" customWidth="1"/>
    <col min="10246" max="10246" width="8.00390625" style="121" customWidth="1"/>
    <col min="10247" max="10247" width="12.7109375" style="121" customWidth="1"/>
    <col min="10248" max="10248" width="12.00390625" style="121" customWidth="1"/>
    <col min="10249" max="10251" width="14.28125" style="121" customWidth="1"/>
    <col min="10252" max="10252" width="14.7109375" style="121" customWidth="1"/>
    <col min="10253" max="10264" width="11.57421875" style="121" customWidth="1"/>
    <col min="10265" max="10302" width="11.57421875" style="121" hidden="1" customWidth="1"/>
    <col min="10303" max="10496" width="11.57421875" style="121" customWidth="1"/>
    <col min="10497" max="10497" width="3.7109375" style="121" customWidth="1"/>
    <col min="10498" max="10498" width="14.28125" style="121" customWidth="1"/>
    <col min="10499" max="10499" width="157.28125" style="121" customWidth="1"/>
    <col min="10500" max="10501" width="12.140625" style="121" customWidth="1"/>
    <col min="10502" max="10502" width="8.00390625" style="121" customWidth="1"/>
    <col min="10503" max="10503" width="12.7109375" style="121" customWidth="1"/>
    <col min="10504" max="10504" width="12.00390625" style="121" customWidth="1"/>
    <col min="10505" max="10507" width="14.28125" style="121" customWidth="1"/>
    <col min="10508" max="10508" width="14.7109375" style="121" customWidth="1"/>
    <col min="10509" max="10520" width="11.57421875" style="121" customWidth="1"/>
    <col min="10521" max="10558" width="11.57421875" style="121" hidden="1" customWidth="1"/>
    <col min="10559" max="10752" width="11.57421875" style="121" customWidth="1"/>
    <col min="10753" max="10753" width="3.7109375" style="121" customWidth="1"/>
    <col min="10754" max="10754" width="14.28125" style="121" customWidth="1"/>
    <col min="10755" max="10755" width="157.28125" style="121" customWidth="1"/>
    <col min="10756" max="10757" width="12.140625" style="121" customWidth="1"/>
    <col min="10758" max="10758" width="8.00390625" style="121" customWidth="1"/>
    <col min="10759" max="10759" width="12.7109375" style="121" customWidth="1"/>
    <col min="10760" max="10760" width="12.00390625" style="121" customWidth="1"/>
    <col min="10761" max="10763" width="14.28125" style="121" customWidth="1"/>
    <col min="10764" max="10764" width="14.7109375" style="121" customWidth="1"/>
    <col min="10765" max="10776" width="11.57421875" style="121" customWidth="1"/>
    <col min="10777" max="10814" width="11.57421875" style="121" hidden="1" customWidth="1"/>
    <col min="10815" max="11008" width="11.57421875" style="121" customWidth="1"/>
    <col min="11009" max="11009" width="3.7109375" style="121" customWidth="1"/>
    <col min="11010" max="11010" width="14.28125" style="121" customWidth="1"/>
    <col min="11011" max="11011" width="157.28125" style="121" customWidth="1"/>
    <col min="11012" max="11013" width="12.140625" style="121" customWidth="1"/>
    <col min="11014" max="11014" width="8.00390625" style="121" customWidth="1"/>
    <col min="11015" max="11015" width="12.7109375" style="121" customWidth="1"/>
    <col min="11016" max="11016" width="12.00390625" style="121" customWidth="1"/>
    <col min="11017" max="11019" width="14.28125" style="121" customWidth="1"/>
    <col min="11020" max="11020" width="14.7109375" style="121" customWidth="1"/>
    <col min="11021" max="11032" width="11.57421875" style="121" customWidth="1"/>
    <col min="11033" max="11070" width="11.57421875" style="121" hidden="1" customWidth="1"/>
    <col min="11071" max="11264" width="11.57421875" style="121" customWidth="1"/>
    <col min="11265" max="11265" width="3.7109375" style="121" customWidth="1"/>
    <col min="11266" max="11266" width="14.28125" style="121" customWidth="1"/>
    <col min="11267" max="11267" width="157.28125" style="121" customWidth="1"/>
    <col min="11268" max="11269" width="12.140625" style="121" customWidth="1"/>
    <col min="11270" max="11270" width="8.00390625" style="121" customWidth="1"/>
    <col min="11271" max="11271" width="12.7109375" style="121" customWidth="1"/>
    <col min="11272" max="11272" width="12.00390625" style="121" customWidth="1"/>
    <col min="11273" max="11275" width="14.28125" style="121" customWidth="1"/>
    <col min="11276" max="11276" width="14.7109375" style="121" customWidth="1"/>
    <col min="11277" max="11288" width="11.57421875" style="121" customWidth="1"/>
    <col min="11289" max="11326" width="11.57421875" style="121" hidden="1" customWidth="1"/>
    <col min="11327" max="11520" width="11.57421875" style="121" customWidth="1"/>
    <col min="11521" max="11521" width="3.7109375" style="121" customWidth="1"/>
    <col min="11522" max="11522" width="14.28125" style="121" customWidth="1"/>
    <col min="11523" max="11523" width="157.28125" style="121" customWidth="1"/>
    <col min="11524" max="11525" width="12.140625" style="121" customWidth="1"/>
    <col min="11526" max="11526" width="8.00390625" style="121" customWidth="1"/>
    <col min="11527" max="11527" width="12.7109375" style="121" customWidth="1"/>
    <col min="11528" max="11528" width="12.00390625" style="121" customWidth="1"/>
    <col min="11529" max="11531" width="14.28125" style="121" customWidth="1"/>
    <col min="11532" max="11532" width="14.7109375" style="121" customWidth="1"/>
    <col min="11533" max="11544" width="11.57421875" style="121" customWidth="1"/>
    <col min="11545" max="11582" width="11.57421875" style="121" hidden="1" customWidth="1"/>
    <col min="11583" max="11776" width="11.57421875" style="121" customWidth="1"/>
    <col min="11777" max="11777" width="3.7109375" style="121" customWidth="1"/>
    <col min="11778" max="11778" width="14.28125" style="121" customWidth="1"/>
    <col min="11779" max="11779" width="157.28125" style="121" customWidth="1"/>
    <col min="11780" max="11781" width="12.140625" style="121" customWidth="1"/>
    <col min="11782" max="11782" width="8.00390625" style="121" customWidth="1"/>
    <col min="11783" max="11783" width="12.7109375" style="121" customWidth="1"/>
    <col min="11784" max="11784" width="12.00390625" style="121" customWidth="1"/>
    <col min="11785" max="11787" width="14.28125" style="121" customWidth="1"/>
    <col min="11788" max="11788" width="14.7109375" style="121" customWidth="1"/>
    <col min="11789" max="11800" width="11.57421875" style="121" customWidth="1"/>
    <col min="11801" max="11838" width="11.57421875" style="121" hidden="1" customWidth="1"/>
    <col min="11839" max="12032" width="11.57421875" style="121" customWidth="1"/>
    <col min="12033" max="12033" width="3.7109375" style="121" customWidth="1"/>
    <col min="12034" max="12034" width="14.28125" style="121" customWidth="1"/>
    <col min="12035" max="12035" width="157.28125" style="121" customWidth="1"/>
    <col min="12036" max="12037" width="12.140625" style="121" customWidth="1"/>
    <col min="12038" max="12038" width="8.00390625" style="121" customWidth="1"/>
    <col min="12039" max="12039" width="12.7109375" style="121" customWidth="1"/>
    <col min="12040" max="12040" width="12.00390625" style="121" customWidth="1"/>
    <col min="12041" max="12043" width="14.28125" style="121" customWidth="1"/>
    <col min="12044" max="12044" width="14.7109375" style="121" customWidth="1"/>
    <col min="12045" max="12056" width="11.57421875" style="121" customWidth="1"/>
    <col min="12057" max="12094" width="11.57421875" style="121" hidden="1" customWidth="1"/>
    <col min="12095" max="12288" width="11.57421875" style="121" customWidth="1"/>
    <col min="12289" max="12289" width="3.7109375" style="121" customWidth="1"/>
    <col min="12290" max="12290" width="14.28125" style="121" customWidth="1"/>
    <col min="12291" max="12291" width="157.28125" style="121" customWidth="1"/>
    <col min="12292" max="12293" width="12.140625" style="121" customWidth="1"/>
    <col min="12294" max="12294" width="8.00390625" style="121" customWidth="1"/>
    <col min="12295" max="12295" width="12.7109375" style="121" customWidth="1"/>
    <col min="12296" max="12296" width="12.00390625" style="121" customWidth="1"/>
    <col min="12297" max="12299" width="14.28125" style="121" customWidth="1"/>
    <col min="12300" max="12300" width="14.7109375" style="121" customWidth="1"/>
    <col min="12301" max="12312" width="11.57421875" style="121" customWidth="1"/>
    <col min="12313" max="12350" width="11.57421875" style="121" hidden="1" customWidth="1"/>
    <col min="12351" max="12544" width="11.57421875" style="121" customWidth="1"/>
    <col min="12545" max="12545" width="3.7109375" style="121" customWidth="1"/>
    <col min="12546" max="12546" width="14.28125" style="121" customWidth="1"/>
    <col min="12547" max="12547" width="157.28125" style="121" customWidth="1"/>
    <col min="12548" max="12549" width="12.140625" style="121" customWidth="1"/>
    <col min="12550" max="12550" width="8.00390625" style="121" customWidth="1"/>
    <col min="12551" max="12551" width="12.7109375" style="121" customWidth="1"/>
    <col min="12552" max="12552" width="12.00390625" style="121" customWidth="1"/>
    <col min="12553" max="12555" width="14.28125" style="121" customWidth="1"/>
    <col min="12556" max="12556" width="14.7109375" style="121" customWidth="1"/>
    <col min="12557" max="12568" width="11.57421875" style="121" customWidth="1"/>
    <col min="12569" max="12606" width="11.57421875" style="121" hidden="1" customWidth="1"/>
    <col min="12607" max="12800" width="11.57421875" style="121" customWidth="1"/>
    <col min="12801" max="12801" width="3.7109375" style="121" customWidth="1"/>
    <col min="12802" max="12802" width="14.28125" style="121" customWidth="1"/>
    <col min="12803" max="12803" width="157.28125" style="121" customWidth="1"/>
    <col min="12804" max="12805" width="12.140625" style="121" customWidth="1"/>
    <col min="12806" max="12806" width="8.00390625" style="121" customWidth="1"/>
    <col min="12807" max="12807" width="12.7109375" style="121" customWidth="1"/>
    <col min="12808" max="12808" width="12.00390625" style="121" customWidth="1"/>
    <col min="12809" max="12811" width="14.28125" style="121" customWidth="1"/>
    <col min="12812" max="12812" width="14.7109375" style="121" customWidth="1"/>
    <col min="12813" max="12824" width="11.57421875" style="121" customWidth="1"/>
    <col min="12825" max="12862" width="11.57421875" style="121" hidden="1" customWidth="1"/>
    <col min="12863" max="13056" width="11.57421875" style="121" customWidth="1"/>
    <col min="13057" max="13057" width="3.7109375" style="121" customWidth="1"/>
    <col min="13058" max="13058" width="14.28125" style="121" customWidth="1"/>
    <col min="13059" max="13059" width="157.28125" style="121" customWidth="1"/>
    <col min="13060" max="13061" width="12.140625" style="121" customWidth="1"/>
    <col min="13062" max="13062" width="8.00390625" style="121" customWidth="1"/>
    <col min="13063" max="13063" width="12.7109375" style="121" customWidth="1"/>
    <col min="13064" max="13064" width="12.00390625" style="121" customWidth="1"/>
    <col min="13065" max="13067" width="14.28125" style="121" customWidth="1"/>
    <col min="13068" max="13068" width="14.7109375" style="121" customWidth="1"/>
    <col min="13069" max="13080" width="11.57421875" style="121" customWidth="1"/>
    <col min="13081" max="13118" width="11.57421875" style="121" hidden="1" customWidth="1"/>
    <col min="13119" max="13312" width="11.57421875" style="121" customWidth="1"/>
    <col min="13313" max="13313" width="3.7109375" style="121" customWidth="1"/>
    <col min="13314" max="13314" width="14.28125" style="121" customWidth="1"/>
    <col min="13315" max="13315" width="157.28125" style="121" customWidth="1"/>
    <col min="13316" max="13317" width="12.140625" style="121" customWidth="1"/>
    <col min="13318" max="13318" width="8.00390625" style="121" customWidth="1"/>
    <col min="13319" max="13319" width="12.7109375" style="121" customWidth="1"/>
    <col min="13320" max="13320" width="12.00390625" style="121" customWidth="1"/>
    <col min="13321" max="13323" width="14.28125" style="121" customWidth="1"/>
    <col min="13324" max="13324" width="14.7109375" style="121" customWidth="1"/>
    <col min="13325" max="13336" width="11.57421875" style="121" customWidth="1"/>
    <col min="13337" max="13374" width="11.57421875" style="121" hidden="1" customWidth="1"/>
    <col min="13375" max="13568" width="11.57421875" style="121" customWidth="1"/>
    <col min="13569" max="13569" width="3.7109375" style="121" customWidth="1"/>
    <col min="13570" max="13570" width="14.28125" style="121" customWidth="1"/>
    <col min="13571" max="13571" width="157.28125" style="121" customWidth="1"/>
    <col min="13572" max="13573" width="12.140625" style="121" customWidth="1"/>
    <col min="13574" max="13574" width="8.00390625" style="121" customWidth="1"/>
    <col min="13575" max="13575" width="12.7109375" style="121" customWidth="1"/>
    <col min="13576" max="13576" width="12.00390625" style="121" customWidth="1"/>
    <col min="13577" max="13579" width="14.28125" style="121" customWidth="1"/>
    <col min="13580" max="13580" width="14.7109375" style="121" customWidth="1"/>
    <col min="13581" max="13592" width="11.57421875" style="121" customWidth="1"/>
    <col min="13593" max="13630" width="11.57421875" style="121" hidden="1" customWidth="1"/>
    <col min="13631" max="13824" width="11.57421875" style="121" customWidth="1"/>
    <col min="13825" max="13825" width="3.7109375" style="121" customWidth="1"/>
    <col min="13826" max="13826" width="14.28125" style="121" customWidth="1"/>
    <col min="13827" max="13827" width="157.28125" style="121" customWidth="1"/>
    <col min="13828" max="13829" width="12.140625" style="121" customWidth="1"/>
    <col min="13830" max="13830" width="8.00390625" style="121" customWidth="1"/>
    <col min="13831" max="13831" width="12.7109375" style="121" customWidth="1"/>
    <col min="13832" max="13832" width="12.00390625" style="121" customWidth="1"/>
    <col min="13833" max="13835" width="14.28125" style="121" customWidth="1"/>
    <col min="13836" max="13836" width="14.7109375" style="121" customWidth="1"/>
    <col min="13837" max="13848" width="11.57421875" style="121" customWidth="1"/>
    <col min="13849" max="13886" width="11.57421875" style="121" hidden="1" customWidth="1"/>
    <col min="13887" max="14080" width="11.57421875" style="121" customWidth="1"/>
    <col min="14081" max="14081" width="3.7109375" style="121" customWidth="1"/>
    <col min="14082" max="14082" width="14.28125" style="121" customWidth="1"/>
    <col min="14083" max="14083" width="157.28125" style="121" customWidth="1"/>
    <col min="14084" max="14085" width="12.140625" style="121" customWidth="1"/>
    <col min="14086" max="14086" width="8.00390625" style="121" customWidth="1"/>
    <col min="14087" max="14087" width="12.7109375" style="121" customWidth="1"/>
    <col min="14088" max="14088" width="12.00390625" style="121" customWidth="1"/>
    <col min="14089" max="14091" width="14.28125" style="121" customWidth="1"/>
    <col min="14092" max="14092" width="14.7109375" style="121" customWidth="1"/>
    <col min="14093" max="14104" width="11.57421875" style="121" customWidth="1"/>
    <col min="14105" max="14142" width="11.57421875" style="121" hidden="1" customWidth="1"/>
    <col min="14143" max="14336" width="11.57421875" style="121" customWidth="1"/>
    <col min="14337" max="14337" width="3.7109375" style="121" customWidth="1"/>
    <col min="14338" max="14338" width="14.28125" style="121" customWidth="1"/>
    <col min="14339" max="14339" width="157.28125" style="121" customWidth="1"/>
    <col min="14340" max="14341" width="12.140625" style="121" customWidth="1"/>
    <col min="14342" max="14342" width="8.00390625" style="121" customWidth="1"/>
    <col min="14343" max="14343" width="12.7109375" style="121" customWidth="1"/>
    <col min="14344" max="14344" width="12.00390625" style="121" customWidth="1"/>
    <col min="14345" max="14347" width="14.28125" style="121" customWidth="1"/>
    <col min="14348" max="14348" width="14.7109375" style="121" customWidth="1"/>
    <col min="14349" max="14360" width="11.57421875" style="121" customWidth="1"/>
    <col min="14361" max="14398" width="11.57421875" style="121" hidden="1" customWidth="1"/>
    <col min="14399" max="14592" width="11.57421875" style="121" customWidth="1"/>
    <col min="14593" max="14593" width="3.7109375" style="121" customWidth="1"/>
    <col min="14594" max="14594" width="14.28125" style="121" customWidth="1"/>
    <col min="14595" max="14595" width="157.28125" style="121" customWidth="1"/>
    <col min="14596" max="14597" width="12.140625" style="121" customWidth="1"/>
    <col min="14598" max="14598" width="8.00390625" style="121" customWidth="1"/>
    <col min="14599" max="14599" width="12.7109375" style="121" customWidth="1"/>
    <col min="14600" max="14600" width="12.00390625" style="121" customWidth="1"/>
    <col min="14601" max="14603" width="14.28125" style="121" customWidth="1"/>
    <col min="14604" max="14604" width="14.7109375" style="121" customWidth="1"/>
    <col min="14605" max="14616" width="11.57421875" style="121" customWidth="1"/>
    <col min="14617" max="14654" width="11.57421875" style="121" hidden="1" customWidth="1"/>
    <col min="14655" max="14848" width="11.57421875" style="121" customWidth="1"/>
    <col min="14849" max="14849" width="3.7109375" style="121" customWidth="1"/>
    <col min="14850" max="14850" width="14.28125" style="121" customWidth="1"/>
    <col min="14851" max="14851" width="157.28125" style="121" customWidth="1"/>
    <col min="14852" max="14853" width="12.140625" style="121" customWidth="1"/>
    <col min="14854" max="14854" width="8.00390625" style="121" customWidth="1"/>
    <col min="14855" max="14855" width="12.7109375" style="121" customWidth="1"/>
    <col min="14856" max="14856" width="12.00390625" style="121" customWidth="1"/>
    <col min="14857" max="14859" width="14.28125" style="121" customWidth="1"/>
    <col min="14860" max="14860" width="14.7109375" style="121" customWidth="1"/>
    <col min="14861" max="14872" width="11.57421875" style="121" customWidth="1"/>
    <col min="14873" max="14910" width="11.57421875" style="121" hidden="1" customWidth="1"/>
    <col min="14911" max="15104" width="11.57421875" style="121" customWidth="1"/>
    <col min="15105" max="15105" width="3.7109375" style="121" customWidth="1"/>
    <col min="15106" max="15106" width="14.28125" style="121" customWidth="1"/>
    <col min="15107" max="15107" width="157.28125" style="121" customWidth="1"/>
    <col min="15108" max="15109" width="12.140625" style="121" customWidth="1"/>
    <col min="15110" max="15110" width="8.00390625" style="121" customWidth="1"/>
    <col min="15111" max="15111" width="12.7109375" style="121" customWidth="1"/>
    <col min="15112" max="15112" width="12.00390625" style="121" customWidth="1"/>
    <col min="15113" max="15115" width="14.28125" style="121" customWidth="1"/>
    <col min="15116" max="15116" width="14.7109375" style="121" customWidth="1"/>
    <col min="15117" max="15128" width="11.57421875" style="121" customWidth="1"/>
    <col min="15129" max="15166" width="11.57421875" style="121" hidden="1" customWidth="1"/>
    <col min="15167" max="15360" width="11.57421875" style="121" customWidth="1"/>
    <col min="15361" max="15361" width="3.7109375" style="121" customWidth="1"/>
    <col min="15362" max="15362" width="14.28125" style="121" customWidth="1"/>
    <col min="15363" max="15363" width="157.28125" style="121" customWidth="1"/>
    <col min="15364" max="15365" width="12.140625" style="121" customWidth="1"/>
    <col min="15366" max="15366" width="8.00390625" style="121" customWidth="1"/>
    <col min="15367" max="15367" width="12.7109375" style="121" customWidth="1"/>
    <col min="15368" max="15368" width="12.00390625" style="121" customWidth="1"/>
    <col min="15369" max="15371" width="14.28125" style="121" customWidth="1"/>
    <col min="15372" max="15372" width="14.7109375" style="121" customWidth="1"/>
    <col min="15373" max="15384" width="11.57421875" style="121" customWidth="1"/>
    <col min="15385" max="15422" width="11.57421875" style="121" hidden="1" customWidth="1"/>
    <col min="15423" max="15616" width="11.57421875" style="121" customWidth="1"/>
    <col min="15617" max="15617" width="3.7109375" style="121" customWidth="1"/>
    <col min="15618" max="15618" width="14.28125" style="121" customWidth="1"/>
    <col min="15619" max="15619" width="157.28125" style="121" customWidth="1"/>
    <col min="15620" max="15621" width="12.140625" style="121" customWidth="1"/>
    <col min="15622" max="15622" width="8.00390625" style="121" customWidth="1"/>
    <col min="15623" max="15623" width="12.7109375" style="121" customWidth="1"/>
    <col min="15624" max="15624" width="12.00390625" style="121" customWidth="1"/>
    <col min="15625" max="15627" width="14.28125" style="121" customWidth="1"/>
    <col min="15628" max="15628" width="14.7109375" style="121" customWidth="1"/>
    <col min="15629" max="15640" width="11.57421875" style="121" customWidth="1"/>
    <col min="15641" max="15678" width="11.57421875" style="121" hidden="1" customWidth="1"/>
    <col min="15679" max="15872" width="11.57421875" style="121" customWidth="1"/>
    <col min="15873" max="15873" width="3.7109375" style="121" customWidth="1"/>
    <col min="15874" max="15874" width="14.28125" style="121" customWidth="1"/>
    <col min="15875" max="15875" width="157.28125" style="121" customWidth="1"/>
    <col min="15876" max="15877" width="12.140625" style="121" customWidth="1"/>
    <col min="15878" max="15878" width="8.00390625" style="121" customWidth="1"/>
    <col min="15879" max="15879" width="12.7109375" style="121" customWidth="1"/>
    <col min="15880" max="15880" width="12.00390625" style="121" customWidth="1"/>
    <col min="15881" max="15883" width="14.28125" style="121" customWidth="1"/>
    <col min="15884" max="15884" width="14.7109375" style="121" customWidth="1"/>
    <col min="15885" max="15896" width="11.57421875" style="121" customWidth="1"/>
    <col min="15897" max="15934" width="11.57421875" style="121" hidden="1" customWidth="1"/>
    <col min="15935" max="16128" width="11.57421875" style="121" customWidth="1"/>
    <col min="16129" max="16129" width="3.7109375" style="121" customWidth="1"/>
    <col min="16130" max="16130" width="14.28125" style="121" customWidth="1"/>
    <col min="16131" max="16131" width="157.28125" style="121" customWidth="1"/>
    <col min="16132" max="16133" width="12.140625" style="121" customWidth="1"/>
    <col min="16134" max="16134" width="8.00390625" style="121" customWidth="1"/>
    <col min="16135" max="16135" width="12.7109375" style="121" customWidth="1"/>
    <col min="16136" max="16136" width="12.00390625" style="121" customWidth="1"/>
    <col min="16137" max="16139" width="14.28125" style="121" customWidth="1"/>
    <col min="16140" max="16140" width="14.7109375" style="121" customWidth="1"/>
    <col min="16141" max="16152" width="11.57421875" style="121" customWidth="1"/>
    <col min="16153" max="16190" width="11.57421875" style="121" hidden="1" customWidth="1"/>
    <col min="16191" max="16384" width="11.57421875" style="121" customWidth="1"/>
  </cols>
  <sheetData>
    <row r="1" spans="1:12" ht="73.05" customHeight="1">
      <c r="A1" s="906" t="s">
        <v>68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</row>
    <row r="2" spans="1:13" ht="15">
      <c r="A2" s="908" t="s">
        <v>13</v>
      </c>
      <c r="B2" s="909"/>
      <c r="C2" s="912" t="s">
        <v>936</v>
      </c>
      <c r="D2" s="914" t="s">
        <v>69</v>
      </c>
      <c r="E2" s="909"/>
      <c r="F2" s="914" t="s">
        <v>70</v>
      </c>
      <c r="G2" s="909"/>
      <c r="H2" s="915" t="s">
        <v>15</v>
      </c>
      <c r="I2" s="915" t="s">
        <v>71</v>
      </c>
      <c r="J2" s="909"/>
      <c r="K2" s="909"/>
      <c r="L2" s="916"/>
      <c r="M2" s="122"/>
    </row>
    <row r="3" spans="1:13" ht="15">
      <c r="A3" s="910"/>
      <c r="B3" s="911"/>
      <c r="C3" s="913"/>
      <c r="D3" s="911"/>
      <c r="E3" s="911"/>
      <c r="F3" s="911"/>
      <c r="G3" s="911"/>
      <c r="H3" s="911"/>
      <c r="I3" s="911"/>
      <c r="J3" s="911"/>
      <c r="K3" s="911"/>
      <c r="L3" s="917"/>
      <c r="M3" s="122"/>
    </row>
    <row r="4" spans="1:13" ht="15">
      <c r="A4" s="918" t="s">
        <v>26</v>
      </c>
      <c r="B4" s="911"/>
      <c r="C4" s="919" t="s">
        <v>23</v>
      </c>
      <c r="D4" s="920" t="s">
        <v>30</v>
      </c>
      <c r="E4" s="911"/>
      <c r="F4" s="920" t="s">
        <v>70</v>
      </c>
      <c r="G4" s="911"/>
      <c r="H4" s="919" t="s">
        <v>27</v>
      </c>
      <c r="I4" s="919" t="s">
        <v>72</v>
      </c>
      <c r="J4" s="911"/>
      <c r="K4" s="911"/>
      <c r="L4" s="917"/>
      <c r="M4" s="122"/>
    </row>
    <row r="5" spans="1:13" ht="15">
      <c r="A5" s="910"/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7"/>
      <c r="M5" s="122"/>
    </row>
    <row r="6" spans="1:13" ht="15">
      <c r="A6" s="918" t="s">
        <v>16</v>
      </c>
      <c r="B6" s="911"/>
      <c r="C6" s="919" t="s">
        <v>17</v>
      </c>
      <c r="D6" s="920" t="s">
        <v>31</v>
      </c>
      <c r="E6" s="911"/>
      <c r="F6" s="920" t="s">
        <v>70</v>
      </c>
      <c r="G6" s="911"/>
      <c r="H6" s="919" t="s">
        <v>29</v>
      </c>
      <c r="I6" s="920" t="s">
        <v>73</v>
      </c>
      <c r="J6" s="911"/>
      <c r="K6" s="911"/>
      <c r="L6" s="917"/>
      <c r="M6" s="122"/>
    </row>
    <row r="7" spans="1:13" ht="15">
      <c r="A7" s="910"/>
      <c r="B7" s="911"/>
      <c r="C7" s="911"/>
      <c r="D7" s="911"/>
      <c r="E7" s="911"/>
      <c r="F7" s="911"/>
      <c r="G7" s="911"/>
      <c r="H7" s="911"/>
      <c r="I7" s="911"/>
      <c r="J7" s="911"/>
      <c r="K7" s="911"/>
      <c r="L7" s="917"/>
      <c r="M7" s="122"/>
    </row>
    <row r="8" spans="1:13" ht="15">
      <c r="A8" s="918" t="s">
        <v>34</v>
      </c>
      <c r="B8" s="911"/>
      <c r="C8" s="919" t="s">
        <v>70</v>
      </c>
      <c r="D8" s="920" t="s">
        <v>74</v>
      </c>
      <c r="E8" s="911"/>
      <c r="F8" s="920" t="s">
        <v>1966</v>
      </c>
      <c r="G8" s="911"/>
      <c r="H8" s="919" t="s">
        <v>35</v>
      </c>
      <c r="I8" s="919" t="s">
        <v>76</v>
      </c>
      <c r="J8" s="911"/>
      <c r="K8" s="911"/>
      <c r="L8" s="917"/>
      <c r="M8" s="122"/>
    </row>
    <row r="9" spans="1:13" ht="13.8" thickBot="1">
      <c r="A9" s="934"/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6"/>
      <c r="M9" s="122"/>
    </row>
    <row r="10" spans="1:13" ht="15">
      <c r="A10" s="123" t="s">
        <v>77</v>
      </c>
      <c r="B10" s="124" t="s">
        <v>78</v>
      </c>
      <c r="C10" s="921" t="s">
        <v>79</v>
      </c>
      <c r="D10" s="922"/>
      <c r="E10" s="923"/>
      <c r="F10" s="124" t="s">
        <v>80</v>
      </c>
      <c r="G10" s="125" t="s">
        <v>81</v>
      </c>
      <c r="H10" s="126" t="s">
        <v>82</v>
      </c>
      <c r="I10" s="924" t="s">
        <v>83</v>
      </c>
      <c r="J10" s="925"/>
      <c r="K10" s="926"/>
      <c r="L10" s="127" t="s">
        <v>84</v>
      </c>
      <c r="M10" s="128"/>
    </row>
    <row r="11" spans="1:62" ht="13.8" thickBot="1">
      <c r="A11" s="129" t="s">
        <v>70</v>
      </c>
      <c r="B11" s="130" t="s">
        <v>70</v>
      </c>
      <c r="C11" s="927" t="s">
        <v>85</v>
      </c>
      <c r="D11" s="928"/>
      <c r="E11" s="929"/>
      <c r="F11" s="130" t="s">
        <v>70</v>
      </c>
      <c r="G11" s="130" t="s">
        <v>70</v>
      </c>
      <c r="H11" s="131" t="s">
        <v>86</v>
      </c>
      <c r="I11" s="132" t="s">
        <v>87</v>
      </c>
      <c r="J11" s="133" t="s">
        <v>47</v>
      </c>
      <c r="K11" s="134" t="s">
        <v>88</v>
      </c>
      <c r="L11" s="135" t="s">
        <v>89</v>
      </c>
      <c r="M11" s="128"/>
      <c r="Z11" s="136" t="s">
        <v>90</v>
      </c>
      <c r="AA11" s="136" t="s">
        <v>91</v>
      </c>
      <c r="AB11" s="136" t="s">
        <v>92</v>
      </c>
      <c r="AC11" s="136" t="s">
        <v>93</v>
      </c>
      <c r="AD11" s="136" t="s">
        <v>94</v>
      </c>
      <c r="AE11" s="136" t="s">
        <v>95</v>
      </c>
      <c r="AF11" s="136" t="s">
        <v>96</v>
      </c>
      <c r="AG11" s="136" t="s">
        <v>97</v>
      </c>
      <c r="AH11" s="136" t="s">
        <v>98</v>
      </c>
      <c r="BH11" s="136" t="s">
        <v>99</v>
      </c>
      <c r="BI11" s="136" t="s">
        <v>100</v>
      </c>
      <c r="BJ11" s="136" t="s">
        <v>101</v>
      </c>
    </row>
    <row r="12" spans="1:12" ht="15">
      <c r="A12" s="148"/>
      <c r="B12" s="149"/>
      <c r="C12" s="930" t="s">
        <v>1967</v>
      </c>
      <c r="D12" s="931"/>
      <c r="E12" s="931"/>
      <c r="F12" s="148" t="s">
        <v>70</v>
      </c>
      <c r="G12" s="148" t="s">
        <v>70</v>
      </c>
      <c r="H12" s="148" t="s">
        <v>70</v>
      </c>
      <c r="I12" s="150">
        <f>I13+I18</f>
        <v>0</v>
      </c>
      <c r="J12" s="150">
        <f>J13+J18</f>
        <v>0</v>
      </c>
      <c r="K12" s="150">
        <f>K13+K18</f>
        <v>0</v>
      </c>
      <c r="L12" s="151"/>
    </row>
    <row r="13" spans="1:47" ht="15">
      <c r="A13" s="156"/>
      <c r="B13" s="157" t="s">
        <v>103</v>
      </c>
      <c r="C13" s="932" t="s">
        <v>104</v>
      </c>
      <c r="D13" s="933"/>
      <c r="E13" s="933"/>
      <c r="F13" s="156" t="s">
        <v>70</v>
      </c>
      <c r="G13" s="156" t="s">
        <v>70</v>
      </c>
      <c r="H13" s="156" t="s">
        <v>70</v>
      </c>
      <c r="I13" s="158">
        <f>SUM(I14:I17)</f>
        <v>0</v>
      </c>
      <c r="J13" s="158">
        <f>SUM(J14:J17)</f>
        <v>0</v>
      </c>
      <c r="K13" s="158">
        <f>SUM(K14:K17)</f>
        <v>0</v>
      </c>
      <c r="L13" s="159"/>
      <c r="AI13" s="136" t="s">
        <v>939</v>
      </c>
      <c r="AS13" s="137">
        <f>SUM(AJ14:AJ17)</f>
        <v>0</v>
      </c>
      <c r="AT13" s="137">
        <f>SUM(AK14:AK17)</f>
        <v>0</v>
      </c>
      <c r="AU13" s="137">
        <f>SUM(AL14:AL17)</f>
        <v>0</v>
      </c>
    </row>
    <row r="14" spans="1:62" ht="15">
      <c r="A14" s="138" t="s">
        <v>106</v>
      </c>
      <c r="B14" s="138" t="s">
        <v>280</v>
      </c>
      <c r="C14" s="920" t="s">
        <v>1968</v>
      </c>
      <c r="D14" s="911"/>
      <c r="E14" s="911"/>
      <c r="F14" s="138" t="s">
        <v>253</v>
      </c>
      <c r="G14" s="139">
        <v>224.2</v>
      </c>
      <c r="H14" s="577">
        <v>0</v>
      </c>
      <c r="I14" s="139">
        <f>G14*AO14</f>
        <v>0</v>
      </c>
      <c r="J14" s="139">
        <f>G14*AP14</f>
        <v>0</v>
      </c>
      <c r="K14" s="139">
        <f>G14*H14</f>
        <v>0</v>
      </c>
      <c r="L14" s="140" t="s">
        <v>110</v>
      </c>
      <c r="Z14" s="139">
        <f>IF(AQ14="5",BJ14,0)</f>
        <v>0</v>
      </c>
      <c r="AB14" s="139">
        <f>IF(AQ14="1",BH14,0)</f>
        <v>0</v>
      </c>
      <c r="AC14" s="139">
        <f>IF(AQ14="1",BI14,0)</f>
        <v>0</v>
      </c>
      <c r="AD14" s="139">
        <f>IF(AQ14="7",BH14,0)</f>
        <v>0</v>
      </c>
      <c r="AE14" s="139">
        <f>IF(AQ14="7",BI14,0)</f>
        <v>0</v>
      </c>
      <c r="AF14" s="139">
        <f>IF(AQ14="2",BH14,0)</f>
        <v>0</v>
      </c>
      <c r="AG14" s="139">
        <f>IF(AQ14="2",BI14,0)</f>
        <v>0</v>
      </c>
      <c r="AH14" s="139">
        <f>IF(AQ14="0",BJ14,0)</f>
        <v>0</v>
      </c>
      <c r="AI14" s="136" t="s">
        <v>939</v>
      </c>
      <c r="AJ14" s="139">
        <f>IF(AN14=0,K14,0)</f>
        <v>0</v>
      </c>
      <c r="AK14" s="139">
        <f>IF(AN14=15,K14,0)</f>
        <v>0</v>
      </c>
      <c r="AL14" s="139">
        <f>IF(AN14=21,K14,0)</f>
        <v>0</v>
      </c>
      <c r="AN14" s="139">
        <v>21</v>
      </c>
      <c r="AO14" s="139">
        <f>H14*0</f>
        <v>0</v>
      </c>
      <c r="AP14" s="139">
        <f>H14*(1-0)</f>
        <v>0</v>
      </c>
      <c r="AQ14" s="140" t="s">
        <v>106</v>
      </c>
      <c r="AV14" s="139">
        <f>AW14+AX14</f>
        <v>0</v>
      </c>
      <c r="AW14" s="139">
        <f>G14*AO14</f>
        <v>0</v>
      </c>
      <c r="AX14" s="139">
        <f>G14*AP14</f>
        <v>0</v>
      </c>
      <c r="AY14" s="140" t="s">
        <v>111</v>
      </c>
      <c r="AZ14" s="140" t="s">
        <v>942</v>
      </c>
      <c r="BA14" s="136" t="s">
        <v>943</v>
      </c>
      <c r="BC14" s="139">
        <f>AW14+AX14</f>
        <v>0</v>
      </c>
      <c r="BD14" s="139">
        <f>H14/(100-BE14)*100</f>
        <v>0</v>
      </c>
      <c r="BE14" s="139">
        <v>0</v>
      </c>
      <c r="BF14" s="139">
        <f>14</f>
        <v>14</v>
      </c>
      <c r="BH14" s="139">
        <f>G14*AO14</f>
        <v>0</v>
      </c>
      <c r="BI14" s="139">
        <f>G14*AP14</f>
        <v>0</v>
      </c>
      <c r="BJ14" s="139">
        <f>G14*H14</f>
        <v>0</v>
      </c>
    </row>
    <row r="15" spans="1:62" ht="15">
      <c r="A15" s="138" t="s">
        <v>114</v>
      </c>
      <c r="B15" s="138" t="s">
        <v>322</v>
      </c>
      <c r="C15" s="920" t="s">
        <v>1969</v>
      </c>
      <c r="D15" s="911"/>
      <c r="E15" s="911"/>
      <c r="F15" s="138" t="s">
        <v>253</v>
      </c>
      <c r="G15" s="139">
        <v>273.5</v>
      </c>
      <c r="H15" s="577">
        <v>0</v>
      </c>
      <c r="I15" s="139">
        <f>G15*AO15</f>
        <v>0</v>
      </c>
      <c r="J15" s="139">
        <f>G15*AP15</f>
        <v>0</v>
      </c>
      <c r="K15" s="139">
        <f>G15*H15</f>
        <v>0</v>
      </c>
      <c r="L15" s="140" t="s">
        <v>110</v>
      </c>
      <c r="Z15" s="139">
        <f>IF(AQ15="5",BJ15,0)</f>
        <v>0</v>
      </c>
      <c r="AB15" s="139">
        <f>IF(AQ15="1",BH15,0)</f>
        <v>0</v>
      </c>
      <c r="AC15" s="139">
        <f>IF(AQ15="1",BI15,0)</f>
        <v>0</v>
      </c>
      <c r="AD15" s="139">
        <f>IF(AQ15="7",BH15,0)</f>
        <v>0</v>
      </c>
      <c r="AE15" s="139">
        <f>IF(AQ15="7",BI15,0)</f>
        <v>0</v>
      </c>
      <c r="AF15" s="139">
        <f>IF(AQ15="2",BH15,0)</f>
        <v>0</v>
      </c>
      <c r="AG15" s="139">
        <f>IF(AQ15="2",BI15,0)</f>
        <v>0</v>
      </c>
      <c r="AH15" s="139">
        <f>IF(AQ15="0",BJ15,0)</f>
        <v>0</v>
      </c>
      <c r="AI15" s="136" t="s">
        <v>939</v>
      </c>
      <c r="AJ15" s="139">
        <f>IF(AN15=0,K15,0)</f>
        <v>0</v>
      </c>
      <c r="AK15" s="139">
        <f>IF(AN15=15,K15,0)</f>
        <v>0</v>
      </c>
      <c r="AL15" s="139">
        <f>IF(AN15=21,K15,0)</f>
        <v>0</v>
      </c>
      <c r="AN15" s="139">
        <v>21</v>
      </c>
      <c r="AO15" s="139">
        <f>H15*0</f>
        <v>0</v>
      </c>
      <c r="AP15" s="139">
        <f>H15*(1-0)</f>
        <v>0</v>
      </c>
      <c r="AQ15" s="140" t="s">
        <v>106</v>
      </c>
      <c r="AV15" s="139">
        <f>AW15+AX15</f>
        <v>0</v>
      </c>
      <c r="AW15" s="139">
        <f>G15*AO15</f>
        <v>0</v>
      </c>
      <c r="AX15" s="139">
        <f>G15*AP15</f>
        <v>0</v>
      </c>
      <c r="AY15" s="140" t="s">
        <v>111</v>
      </c>
      <c r="AZ15" s="140" t="s">
        <v>942</v>
      </c>
      <c r="BA15" s="136" t="s">
        <v>943</v>
      </c>
      <c r="BC15" s="139">
        <f>AW15+AX15</f>
        <v>0</v>
      </c>
      <c r="BD15" s="139">
        <f>H15/(100-BE15)*100</f>
        <v>0</v>
      </c>
      <c r="BE15" s="139">
        <v>0</v>
      </c>
      <c r="BF15" s="139">
        <f>15</f>
        <v>15</v>
      </c>
      <c r="BH15" s="139">
        <f>G15*AO15</f>
        <v>0</v>
      </c>
      <c r="BI15" s="139">
        <f>G15*AP15</f>
        <v>0</v>
      </c>
      <c r="BJ15" s="139">
        <f>G15*H15</f>
        <v>0</v>
      </c>
    </row>
    <row r="16" spans="1:62" ht="15">
      <c r="A16" s="138" t="s">
        <v>117</v>
      </c>
      <c r="B16" s="138" t="s">
        <v>1970</v>
      </c>
      <c r="C16" s="920" t="s">
        <v>1971</v>
      </c>
      <c r="D16" s="911"/>
      <c r="E16" s="911"/>
      <c r="F16" s="138" t="s">
        <v>209</v>
      </c>
      <c r="G16" s="139">
        <v>1868</v>
      </c>
      <c r="H16" s="577">
        <v>0</v>
      </c>
      <c r="I16" s="139">
        <f>G16*AO16</f>
        <v>0</v>
      </c>
      <c r="J16" s="139">
        <f>G16*AP16</f>
        <v>0</v>
      </c>
      <c r="K16" s="139">
        <f>G16*H16</f>
        <v>0</v>
      </c>
      <c r="L16" s="140" t="s">
        <v>110</v>
      </c>
      <c r="Z16" s="139">
        <f>IF(AQ16="5",BJ16,0)</f>
        <v>0</v>
      </c>
      <c r="AB16" s="139">
        <f>IF(AQ16="1",BH16,0)</f>
        <v>0</v>
      </c>
      <c r="AC16" s="139">
        <f>IF(AQ16="1",BI16,0)</f>
        <v>0</v>
      </c>
      <c r="AD16" s="139">
        <f>IF(AQ16="7",BH16,0)</f>
        <v>0</v>
      </c>
      <c r="AE16" s="139">
        <f>IF(AQ16="7",BI16,0)</f>
        <v>0</v>
      </c>
      <c r="AF16" s="139">
        <f>IF(AQ16="2",BH16,0)</f>
        <v>0</v>
      </c>
      <c r="AG16" s="139">
        <f>IF(AQ16="2",BI16,0)</f>
        <v>0</v>
      </c>
      <c r="AH16" s="139">
        <f>IF(AQ16="0",BJ16,0)</f>
        <v>0</v>
      </c>
      <c r="AI16" s="136" t="s">
        <v>939</v>
      </c>
      <c r="AJ16" s="139">
        <f>IF(AN16=0,K16,0)</f>
        <v>0</v>
      </c>
      <c r="AK16" s="139">
        <f>IF(AN16=15,K16,0)</f>
        <v>0</v>
      </c>
      <c r="AL16" s="139">
        <f>IF(AN16=21,K16,0)</f>
        <v>0</v>
      </c>
      <c r="AN16" s="139">
        <v>21</v>
      </c>
      <c r="AO16" s="139">
        <f>H16*0</f>
        <v>0</v>
      </c>
      <c r="AP16" s="139">
        <f>H16*(1-0)</f>
        <v>0</v>
      </c>
      <c r="AQ16" s="140" t="s">
        <v>114</v>
      </c>
      <c r="AV16" s="139">
        <f>AW16+AX16</f>
        <v>0</v>
      </c>
      <c r="AW16" s="139">
        <f>G16*AO16</f>
        <v>0</v>
      </c>
      <c r="AX16" s="139">
        <f>G16*AP16</f>
        <v>0</v>
      </c>
      <c r="AY16" s="140" t="s">
        <v>111</v>
      </c>
      <c r="AZ16" s="140" t="s">
        <v>942</v>
      </c>
      <c r="BA16" s="136" t="s">
        <v>943</v>
      </c>
      <c r="BC16" s="139">
        <f>AW16+AX16</f>
        <v>0</v>
      </c>
      <c r="BD16" s="139">
        <f>H16/(100-BE16)*100</f>
        <v>0</v>
      </c>
      <c r="BE16" s="139">
        <v>0</v>
      </c>
      <c r="BF16" s="139">
        <f>16</f>
        <v>16</v>
      </c>
      <c r="BH16" s="139">
        <f>G16*AO16</f>
        <v>0</v>
      </c>
      <c r="BI16" s="139">
        <f>G16*AP16</f>
        <v>0</v>
      </c>
      <c r="BJ16" s="139">
        <f>G16*H16</f>
        <v>0</v>
      </c>
    </row>
    <row r="17" spans="1:62" ht="15">
      <c r="A17" s="138" t="s">
        <v>121</v>
      </c>
      <c r="B17" s="138" t="s">
        <v>178</v>
      </c>
      <c r="C17" s="920" t="s">
        <v>179</v>
      </c>
      <c r="D17" s="911"/>
      <c r="E17" s="911"/>
      <c r="F17" s="138" t="s">
        <v>109</v>
      </c>
      <c r="G17" s="139">
        <v>280.2</v>
      </c>
      <c r="H17" s="577">
        <v>0</v>
      </c>
      <c r="I17" s="139">
        <f>G17*AO17</f>
        <v>0</v>
      </c>
      <c r="J17" s="139">
        <f>G17*AP17</f>
        <v>0</v>
      </c>
      <c r="K17" s="139">
        <f>G17*H17</f>
        <v>0</v>
      </c>
      <c r="L17" s="140" t="s">
        <v>110</v>
      </c>
      <c r="Z17" s="139">
        <f>IF(AQ17="5",BJ17,0)</f>
        <v>0</v>
      </c>
      <c r="AB17" s="139">
        <f>IF(AQ17="1",BH17,0)</f>
        <v>0</v>
      </c>
      <c r="AC17" s="139">
        <f>IF(AQ17="1",BI17,0)</f>
        <v>0</v>
      </c>
      <c r="AD17" s="139">
        <f>IF(AQ17="7",BH17,0)</f>
        <v>0</v>
      </c>
      <c r="AE17" s="139">
        <f>IF(AQ17="7",BI17,0)</f>
        <v>0</v>
      </c>
      <c r="AF17" s="139">
        <f>IF(AQ17="2",BH17,0)</f>
        <v>0</v>
      </c>
      <c r="AG17" s="139">
        <f>IF(AQ17="2",BI17,0)</f>
        <v>0</v>
      </c>
      <c r="AH17" s="139">
        <f>IF(AQ17="0",BJ17,0)</f>
        <v>0</v>
      </c>
      <c r="AI17" s="136" t="s">
        <v>939</v>
      </c>
      <c r="AJ17" s="139">
        <f>IF(AN17=0,K17,0)</f>
        <v>0</v>
      </c>
      <c r="AK17" s="139">
        <f>IF(AN17=15,K17,0)</f>
        <v>0</v>
      </c>
      <c r="AL17" s="139">
        <f>IF(AN17=21,K17,0)</f>
        <v>0</v>
      </c>
      <c r="AN17" s="139">
        <v>21</v>
      </c>
      <c r="AO17" s="139">
        <f>H17*0</f>
        <v>0</v>
      </c>
      <c r="AP17" s="139">
        <f>H17*(1-0)</f>
        <v>0</v>
      </c>
      <c r="AQ17" s="140" t="s">
        <v>106</v>
      </c>
      <c r="AV17" s="139">
        <f>AW17+AX17</f>
        <v>0</v>
      </c>
      <c r="AW17" s="139">
        <f>G17*AO17</f>
        <v>0</v>
      </c>
      <c r="AX17" s="139">
        <f>G17*AP17</f>
        <v>0</v>
      </c>
      <c r="AY17" s="140" t="s">
        <v>111</v>
      </c>
      <c r="AZ17" s="140" t="s">
        <v>942</v>
      </c>
      <c r="BA17" s="136" t="s">
        <v>943</v>
      </c>
      <c r="BC17" s="139">
        <f>AW17+AX17</f>
        <v>0</v>
      </c>
      <c r="BD17" s="139">
        <f>H17/(100-BE17)*100</f>
        <v>0</v>
      </c>
      <c r="BE17" s="139">
        <v>0</v>
      </c>
      <c r="BF17" s="139">
        <f>17</f>
        <v>17</v>
      </c>
      <c r="BH17" s="139">
        <f>G17*AO17</f>
        <v>0</v>
      </c>
      <c r="BI17" s="139">
        <f>G17*AP17</f>
        <v>0</v>
      </c>
      <c r="BJ17" s="139">
        <f>G17*H17</f>
        <v>0</v>
      </c>
    </row>
    <row r="18" spans="1:47" ht="15">
      <c r="A18" s="156"/>
      <c r="B18" s="157" t="s">
        <v>127</v>
      </c>
      <c r="C18" s="932" t="s">
        <v>128</v>
      </c>
      <c r="D18" s="933"/>
      <c r="E18" s="933"/>
      <c r="F18" s="156" t="s">
        <v>70</v>
      </c>
      <c r="G18" s="156" t="s">
        <v>70</v>
      </c>
      <c r="H18" s="156" t="s">
        <v>70</v>
      </c>
      <c r="I18" s="158">
        <f>SUM(I19:I22)</f>
        <v>0</v>
      </c>
      <c r="J18" s="158">
        <f>SUM(J19:J22)</f>
        <v>0</v>
      </c>
      <c r="K18" s="158">
        <f>SUM(K19:K22)</f>
        <v>0</v>
      </c>
      <c r="L18" s="159"/>
      <c r="AI18" s="136" t="s">
        <v>939</v>
      </c>
      <c r="AS18" s="137">
        <f>SUM(AJ19:AJ22)</f>
        <v>0</v>
      </c>
      <c r="AT18" s="137">
        <f>SUM(AK19:AK22)</f>
        <v>0</v>
      </c>
      <c r="AU18" s="137">
        <f>SUM(AL19:AL22)</f>
        <v>0</v>
      </c>
    </row>
    <row r="19" spans="1:62" ht="15">
      <c r="A19" s="138" t="s">
        <v>124</v>
      </c>
      <c r="B19" s="138" t="s">
        <v>130</v>
      </c>
      <c r="C19" s="920" t="s">
        <v>1972</v>
      </c>
      <c r="D19" s="911"/>
      <c r="E19" s="911"/>
      <c r="F19" s="138" t="s">
        <v>132</v>
      </c>
      <c r="G19" s="139">
        <v>185</v>
      </c>
      <c r="H19" s="577">
        <v>0</v>
      </c>
      <c r="I19" s="139">
        <f>G19*AO19</f>
        <v>0</v>
      </c>
      <c r="J19" s="139">
        <f>G19*AP19</f>
        <v>0</v>
      </c>
      <c r="K19" s="139">
        <f>G19*H19</f>
        <v>0</v>
      </c>
      <c r="L19" s="140" t="s">
        <v>110</v>
      </c>
      <c r="Z19" s="139">
        <f>IF(AQ19="5",BJ19,0)</f>
        <v>0</v>
      </c>
      <c r="AB19" s="139">
        <f>IF(AQ19="1",BH19,0)</f>
        <v>0</v>
      </c>
      <c r="AC19" s="139">
        <f>IF(AQ19="1",BI19,0)</f>
        <v>0</v>
      </c>
      <c r="AD19" s="139">
        <f>IF(AQ19="7",BH19,0)</f>
        <v>0</v>
      </c>
      <c r="AE19" s="139">
        <f>IF(AQ19="7",BI19,0)</f>
        <v>0</v>
      </c>
      <c r="AF19" s="139">
        <f>IF(AQ19="2",BH19,0)</f>
        <v>0</v>
      </c>
      <c r="AG19" s="139">
        <f>IF(AQ19="2",BI19,0)</f>
        <v>0</v>
      </c>
      <c r="AH19" s="139">
        <f>IF(AQ19="0",BJ19,0)</f>
        <v>0</v>
      </c>
      <c r="AI19" s="136" t="s">
        <v>939</v>
      </c>
      <c r="AJ19" s="139">
        <f>IF(AN19=0,K19,0)</f>
        <v>0</v>
      </c>
      <c r="AK19" s="139">
        <f>IF(AN19=15,K19,0)</f>
        <v>0</v>
      </c>
      <c r="AL19" s="139">
        <f>IF(AN19=21,K19,0)</f>
        <v>0</v>
      </c>
      <c r="AN19" s="139">
        <v>21</v>
      </c>
      <c r="AO19" s="139">
        <f>H19*0.0106885245901639</f>
        <v>0</v>
      </c>
      <c r="AP19" s="139">
        <f>H19*(1-0.0106885245901639)</f>
        <v>0</v>
      </c>
      <c r="AQ19" s="140" t="s">
        <v>124</v>
      </c>
      <c r="AV19" s="139">
        <f>AW19+AX19</f>
        <v>0</v>
      </c>
      <c r="AW19" s="139">
        <f>G19*AO19</f>
        <v>0</v>
      </c>
      <c r="AX19" s="139">
        <f>G19*AP19</f>
        <v>0</v>
      </c>
      <c r="AY19" s="140" t="s">
        <v>133</v>
      </c>
      <c r="AZ19" s="140" t="s">
        <v>957</v>
      </c>
      <c r="BA19" s="136" t="s">
        <v>943</v>
      </c>
      <c r="BC19" s="139">
        <f>AW19+AX19</f>
        <v>0</v>
      </c>
      <c r="BD19" s="139">
        <f>H19/(100-BE19)*100</f>
        <v>0</v>
      </c>
      <c r="BE19" s="139">
        <v>0</v>
      </c>
      <c r="BF19" s="139">
        <f>19</f>
        <v>19</v>
      </c>
      <c r="BH19" s="139">
        <f>G19*AO19</f>
        <v>0</v>
      </c>
      <c r="BI19" s="139">
        <f>G19*AP19</f>
        <v>0</v>
      </c>
      <c r="BJ19" s="139">
        <f>G19*H19</f>
        <v>0</v>
      </c>
    </row>
    <row r="20" spans="2:12" ht="38.7" customHeight="1">
      <c r="B20" s="141" t="s">
        <v>67</v>
      </c>
      <c r="C20" s="939" t="s">
        <v>1973</v>
      </c>
      <c r="D20" s="940"/>
      <c r="E20" s="940"/>
      <c r="F20" s="940"/>
      <c r="G20" s="940"/>
      <c r="H20" s="940"/>
      <c r="I20" s="940"/>
      <c r="J20" s="940"/>
      <c r="K20" s="940"/>
      <c r="L20" s="940"/>
    </row>
    <row r="21" spans="1:62" ht="15">
      <c r="A21" s="138" t="s">
        <v>129</v>
      </c>
      <c r="B21" s="138" t="s">
        <v>137</v>
      </c>
      <c r="C21" s="920" t="s">
        <v>1974</v>
      </c>
      <c r="D21" s="911"/>
      <c r="E21" s="911"/>
      <c r="F21" s="138" t="s">
        <v>132</v>
      </c>
      <c r="G21" s="139">
        <v>92.4</v>
      </c>
      <c r="H21" s="577">
        <v>0</v>
      </c>
      <c r="I21" s="139">
        <f>G21*AO21</f>
        <v>0</v>
      </c>
      <c r="J21" s="139">
        <f>G21*AP21</f>
        <v>0</v>
      </c>
      <c r="K21" s="139">
        <f>G21*H21</f>
        <v>0</v>
      </c>
      <c r="L21" s="140" t="s">
        <v>110</v>
      </c>
      <c r="Z21" s="139">
        <f>IF(AQ21="5",BJ21,0)</f>
        <v>0</v>
      </c>
      <c r="AB21" s="139">
        <f>IF(AQ21="1",BH21,0)</f>
        <v>0</v>
      </c>
      <c r="AC21" s="139">
        <f>IF(AQ21="1",BI21,0)</f>
        <v>0</v>
      </c>
      <c r="AD21" s="139">
        <f>IF(AQ21="7",BH21,0)</f>
        <v>0</v>
      </c>
      <c r="AE21" s="139">
        <f>IF(AQ21="7",BI21,0)</f>
        <v>0</v>
      </c>
      <c r="AF21" s="139">
        <f>IF(AQ21="2",BH21,0)</f>
        <v>0</v>
      </c>
      <c r="AG21" s="139">
        <f>IF(AQ21="2",BI21,0)</f>
        <v>0</v>
      </c>
      <c r="AH21" s="139">
        <f>IF(AQ21="0",BJ21,0)</f>
        <v>0</v>
      </c>
      <c r="AI21" s="136" t="s">
        <v>939</v>
      </c>
      <c r="AJ21" s="139">
        <f>IF(AN21=0,K21,0)</f>
        <v>0</v>
      </c>
      <c r="AK21" s="139">
        <f>IF(AN21=15,K21,0)</f>
        <v>0</v>
      </c>
      <c r="AL21" s="139">
        <f>IF(AN21=21,K21,0)</f>
        <v>0</v>
      </c>
      <c r="AN21" s="139">
        <v>21</v>
      </c>
      <c r="AO21" s="139">
        <f>H21*0</f>
        <v>0</v>
      </c>
      <c r="AP21" s="139">
        <f>H21*(1-0)</f>
        <v>0</v>
      </c>
      <c r="AQ21" s="140" t="s">
        <v>124</v>
      </c>
      <c r="AV21" s="139">
        <f>AW21+AX21</f>
        <v>0</v>
      </c>
      <c r="AW21" s="139">
        <f>G21*AO21</f>
        <v>0</v>
      </c>
      <c r="AX21" s="139">
        <f>G21*AP21</f>
        <v>0</v>
      </c>
      <c r="AY21" s="140" t="s">
        <v>133</v>
      </c>
      <c r="AZ21" s="140" t="s">
        <v>957</v>
      </c>
      <c r="BA21" s="136" t="s">
        <v>943</v>
      </c>
      <c r="BC21" s="139">
        <f>AW21+AX21</f>
        <v>0</v>
      </c>
      <c r="BD21" s="139">
        <f>H21/(100-BE21)*100</f>
        <v>0</v>
      </c>
      <c r="BE21" s="139">
        <v>0</v>
      </c>
      <c r="BF21" s="139">
        <f>21</f>
        <v>21</v>
      </c>
      <c r="BH21" s="139">
        <f>G21*AO21</f>
        <v>0</v>
      </c>
      <c r="BI21" s="139">
        <f>G21*AP21</f>
        <v>0</v>
      </c>
      <c r="BJ21" s="139">
        <f>G21*H21</f>
        <v>0</v>
      </c>
    </row>
    <row r="22" spans="1:62" ht="15">
      <c r="A22" s="138" t="s">
        <v>136</v>
      </c>
      <c r="B22" s="138" t="s">
        <v>325</v>
      </c>
      <c r="C22" s="920" t="s">
        <v>326</v>
      </c>
      <c r="D22" s="911"/>
      <c r="E22" s="911"/>
      <c r="F22" s="138" t="s">
        <v>253</v>
      </c>
      <c r="G22" s="139">
        <v>273.5</v>
      </c>
      <c r="H22" s="577">
        <v>0</v>
      </c>
      <c r="I22" s="139">
        <f>G22*AO22</f>
        <v>0</v>
      </c>
      <c r="J22" s="139">
        <f>G22*AP22</f>
        <v>0</v>
      </c>
      <c r="K22" s="139">
        <f>G22*H22</f>
        <v>0</v>
      </c>
      <c r="L22" s="140" t="s">
        <v>110</v>
      </c>
      <c r="Z22" s="139">
        <f>IF(AQ22="5",BJ22,0)</f>
        <v>0</v>
      </c>
      <c r="AB22" s="139">
        <f>IF(AQ22="1",BH22,0)</f>
        <v>0</v>
      </c>
      <c r="AC22" s="139">
        <f>IF(AQ22="1",BI22,0)</f>
        <v>0</v>
      </c>
      <c r="AD22" s="139">
        <f>IF(AQ22="7",BH22,0)</f>
        <v>0</v>
      </c>
      <c r="AE22" s="139">
        <f>IF(AQ22="7",BI22,0)</f>
        <v>0</v>
      </c>
      <c r="AF22" s="139">
        <f>IF(AQ22="2",BH22,0)</f>
        <v>0</v>
      </c>
      <c r="AG22" s="139">
        <f>IF(AQ22="2",BI22,0)</f>
        <v>0</v>
      </c>
      <c r="AH22" s="139">
        <f>IF(AQ22="0",BJ22,0)</f>
        <v>0</v>
      </c>
      <c r="AI22" s="136" t="s">
        <v>939</v>
      </c>
      <c r="AJ22" s="139">
        <f>IF(AN22=0,K22,0)</f>
        <v>0</v>
      </c>
      <c r="AK22" s="139">
        <f>IF(AN22=15,K22,0)</f>
        <v>0</v>
      </c>
      <c r="AL22" s="139">
        <f>IF(AN22=21,K22,0)</f>
        <v>0</v>
      </c>
      <c r="AN22" s="139">
        <v>21</v>
      </c>
      <c r="AO22" s="139">
        <f>H22*0</f>
        <v>0</v>
      </c>
      <c r="AP22" s="139">
        <f>H22*(1-0)</f>
        <v>0</v>
      </c>
      <c r="AQ22" s="140" t="s">
        <v>106</v>
      </c>
      <c r="AV22" s="139">
        <f>AW22+AX22</f>
        <v>0</v>
      </c>
      <c r="AW22" s="139">
        <f>G22*AO22</f>
        <v>0</v>
      </c>
      <c r="AX22" s="139">
        <f>G22*AP22</f>
        <v>0</v>
      </c>
      <c r="AY22" s="140" t="s">
        <v>133</v>
      </c>
      <c r="AZ22" s="140" t="s">
        <v>957</v>
      </c>
      <c r="BA22" s="136" t="s">
        <v>943</v>
      </c>
      <c r="BC22" s="139">
        <f>AW22+AX22</f>
        <v>0</v>
      </c>
      <c r="BD22" s="139">
        <f>H22/(100-BE22)*100</f>
        <v>0</v>
      </c>
      <c r="BE22" s="139">
        <v>0</v>
      </c>
      <c r="BF22" s="139">
        <f>22</f>
        <v>22</v>
      </c>
      <c r="BH22" s="139">
        <f>G22*AO22</f>
        <v>0</v>
      </c>
      <c r="BI22" s="139">
        <f>G22*AP22</f>
        <v>0</v>
      </c>
      <c r="BJ22" s="139">
        <f>G22*H22</f>
        <v>0</v>
      </c>
    </row>
    <row r="23" spans="1:12" ht="15">
      <c r="A23" s="152"/>
      <c r="B23" s="153"/>
      <c r="C23" s="937" t="s">
        <v>102</v>
      </c>
      <c r="D23" s="938"/>
      <c r="E23" s="938"/>
      <c r="F23" s="152" t="s">
        <v>70</v>
      </c>
      <c r="G23" s="152" t="s">
        <v>70</v>
      </c>
      <c r="H23" s="152" t="s">
        <v>70</v>
      </c>
      <c r="I23" s="154">
        <f>I24+I31</f>
        <v>0</v>
      </c>
      <c r="J23" s="154">
        <f>J24+J31</f>
        <v>0</v>
      </c>
      <c r="K23" s="154">
        <f>K24+K31</f>
        <v>0</v>
      </c>
      <c r="L23" s="155"/>
    </row>
    <row r="24" spans="1:47" ht="15">
      <c r="A24" s="156"/>
      <c r="B24" s="157" t="s">
        <v>103</v>
      </c>
      <c r="C24" s="932" t="s">
        <v>104</v>
      </c>
      <c r="D24" s="933"/>
      <c r="E24" s="933"/>
      <c r="F24" s="156" t="s">
        <v>70</v>
      </c>
      <c r="G24" s="156" t="s">
        <v>70</v>
      </c>
      <c r="H24" s="156" t="s">
        <v>70</v>
      </c>
      <c r="I24" s="158">
        <f>SUM(I25:I30)</f>
        <v>0</v>
      </c>
      <c r="J24" s="158">
        <f>SUM(J25:J30)</f>
        <v>0</v>
      </c>
      <c r="K24" s="158">
        <f>SUM(K25:K30)</f>
        <v>0</v>
      </c>
      <c r="L24" s="159"/>
      <c r="AI24" s="136" t="s">
        <v>105</v>
      </c>
      <c r="AS24" s="137">
        <f>SUM(AJ25:AJ30)</f>
        <v>0</v>
      </c>
      <c r="AT24" s="137">
        <f>SUM(AK25:AK30)</f>
        <v>0</v>
      </c>
      <c r="AU24" s="137">
        <f>SUM(AL25:AL30)</f>
        <v>0</v>
      </c>
    </row>
    <row r="25" spans="1:62" ht="15">
      <c r="A25" s="138" t="s">
        <v>139</v>
      </c>
      <c r="B25" s="138" t="s">
        <v>107</v>
      </c>
      <c r="C25" s="920" t="s">
        <v>108</v>
      </c>
      <c r="D25" s="911"/>
      <c r="E25" s="911"/>
      <c r="F25" s="138" t="s">
        <v>109</v>
      </c>
      <c r="G25" s="139">
        <v>962</v>
      </c>
      <c r="H25" s="577">
        <v>0</v>
      </c>
      <c r="I25" s="139">
        <f aca="true" t="shared" si="0" ref="I25:I30">G25*AO25</f>
        <v>0</v>
      </c>
      <c r="J25" s="139">
        <f aca="true" t="shared" si="1" ref="J25:J30">G25*AP25</f>
        <v>0</v>
      </c>
      <c r="K25" s="139">
        <f aca="true" t="shared" si="2" ref="K25:K30">G25*H25</f>
        <v>0</v>
      </c>
      <c r="L25" s="140" t="s">
        <v>110</v>
      </c>
      <c r="Z25" s="139">
        <f aca="true" t="shared" si="3" ref="Z25:Z30">IF(AQ25="5",BJ25,0)</f>
        <v>0</v>
      </c>
      <c r="AB25" s="139">
        <f aca="true" t="shared" si="4" ref="AB25:AB30">IF(AQ25="1",BH25,0)</f>
        <v>0</v>
      </c>
      <c r="AC25" s="139">
        <f aca="true" t="shared" si="5" ref="AC25:AC30">IF(AQ25="1",BI25,0)</f>
        <v>0</v>
      </c>
      <c r="AD25" s="139">
        <f aca="true" t="shared" si="6" ref="AD25:AD30">IF(AQ25="7",BH25,0)</f>
        <v>0</v>
      </c>
      <c r="AE25" s="139">
        <f aca="true" t="shared" si="7" ref="AE25:AE30">IF(AQ25="7",BI25,0)</f>
        <v>0</v>
      </c>
      <c r="AF25" s="139">
        <f aca="true" t="shared" si="8" ref="AF25:AF30">IF(AQ25="2",BH25,0)</f>
        <v>0</v>
      </c>
      <c r="AG25" s="139">
        <f aca="true" t="shared" si="9" ref="AG25:AG30">IF(AQ25="2",BI25,0)</f>
        <v>0</v>
      </c>
      <c r="AH25" s="139">
        <f aca="true" t="shared" si="10" ref="AH25:AH30">IF(AQ25="0",BJ25,0)</f>
        <v>0</v>
      </c>
      <c r="AI25" s="136" t="s">
        <v>105</v>
      </c>
      <c r="AJ25" s="139">
        <f aca="true" t="shared" si="11" ref="AJ25:AJ30">IF(AN25=0,K25,0)</f>
        <v>0</v>
      </c>
      <c r="AK25" s="139">
        <f aca="true" t="shared" si="12" ref="AK25:AK30">IF(AN25=15,K25,0)</f>
        <v>0</v>
      </c>
      <c r="AL25" s="139">
        <f aca="true" t="shared" si="13" ref="AL25:AL30">IF(AN25=21,K25,0)</f>
        <v>0</v>
      </c>
      <c r="AN25" s="139">
        <v>21</v>
      </c>
      <c r="AO25" s="139">
        <f>H25*0.209829867674858</f>
        <v>0</v>
      </c>
      <c r="AP25" s="139">
        <f>H25*(1-0.209829867674858)</f>
        <v>0</v>
      </c>
      <c r="AQ25" s="140" t="s">
        <v>106</v>
      </c>
      <c r="AV25" s="139">
        <f aca="true" t="shared" si="14" ref="AV25:AV30">AW25+AX25</f>
        <v>0</v>
      </c>
      <c r="AW25" s="139">
        <f aca="true" t="shared" si="15" ref="AW25:AW30">G25*AO25</f>
        <v>0</v>
      </c>
      <c r="AX25" s="139">
        <f aca="true" t="shared" si="16" ref="AX25:AX30">G25*AP25</f>
        <v>0</v>
      </c>
      <c r="AY25" s="140" t="s">
        <v>111</v>
      </c>
      <c r="AZ25" s="140" t="s">
        <v>112</v>
      </c>
      <c r="BA25" s="136" t="s">
        <v>113</v>
      </c>
      <c r="BC25" s="139">
        <f aca="true" t="shared" si="17" ref="BC25:BC30">AW25+AX25</f>
        <v>0</v>
      </c>
      <c r="BD25" s="139">
        <f aca="true" t="shared" si="18" ref="BD25:BD30">H25/(100-BE25)*100</f>
        <v>0</v>
      </c>
      <c r="BE25" s="139">
        <v>0</v>
      </c>
      <c r="BF25" s="139">
        <f>25</f>
        <v>25</v>
      </c>
      <c r="BH25" s="139">
        <f aca="true" t="shared" si="19" ref="BH25:BH30">G25*AO25</f>
        <v>0</v>
      </c>
      <c r="BI25" s="139">
        <f aca="true" t="shared" si="20" ref="BI25:BI30">G25*AP25</f>
        <v>0</v>
      </c>
      <c r="BJ25" s="139">
        <f aca="true" t="shared" si="21" ref="BJ25:BJ30">G25*H25</f>
        <v>0</v>
      </c>
    </row>
    <row r="26" spans="1:62" ht="15">
      <c r="A26" s="138" t="s">
        <v>145</v>
      </c>
      <c r="B26" s="138" t="s">
        <v>115</v>
      </c>
      <c r="C26" s="920" t="s">
        <v>116</v>
      </c>
      <c r="D26" s="911"/>
      <c r="E26" s="911"/>
      <c r="F26" s="138" t="s">
        <v>109</v>
      </c>
      <c r="G26" s="139">
        <v>962</v>
      </c>
      <c r="H26" s="577">
        <v>0</v>
      </c>
      <c r="I26" s="139">
        <f t="shared" si="0"/>
        <v>0</v>
      </c>
      <c r="J26" s="139">
        <f t="shared" si="1"/>
        <v>0</v>
      </c>
      <c r="K26" s="139">
        <f t="shared" si="2"/>
        <v>0</v>
      </c>
      <c r="L26" s="140" t="s">
        <v>110</v>
      </c>
      <c r="Z26" s="139">
        <f t="shared" si="3"/>
        <v>0</v>
      </c>
      <c r="AB26" s="139">
        <f t="shared" si="4"/>
        <v>0</v>
      </c>
      <c r="AC26" s="139">
        <f t="shared" si="5"/>
        <v>0</v>
      </c>
      <c r="AD26" s="139">
        <f t="shared" si="6"/>
        <v>0</v>
      </c>
      <c r="AE26" s="139">
        <f t="shared" si="7"/>
        <v>0</v>
      </c>
      <c r="AF26" s="139">
        <f t="shared" si="8"/>
        <v>0</v>
      </c>
      <c r="AG26" s="139">
        <f t="shared" si="9"/>
        <v>0</v>
      </c>
      <c r="AH26" s="139">
        <f t="shared" si="10"/>
        <v>0</v>
      </c>
      <c r="AI26" s="136" t="s">
        <v>105</v>
      </c>
      <c r="AJ26" s="139">
        <f t="shared" si="11"/>
        <v>0</v>
      </c>
      <c r="AK26" s="139">
        <f t="shared" si="12"/>
        <v>0</v>
      </c>
      <c r="AL26" s="139">
        <f t="shared" si="13"/>
        <v>0</v>
      </c>
      <c r="AN26" s="139">
        <v>21</v>
      </c>
      <c r="AO26" s="139">
        <f>H26*0</f>
        <v>0</v>
      </c>
      <c r="AP26" s="139">
        <f>H26*(1-0)</f>
        <v>0</v>
      </c>
      <c r="AQ26" s="140" t="s">
        <v>106</v>
      </c>
      <c r="AV26" s="139">
        <f t="shared" si="14"/>
        <v>0</v>
      </c>
      <c r="AW26" s="139">
        <f t="shared" si="15"/>
        <v>0</v>
      </c>
      <c r="AX26" s="139">
        <f t="shared" si="16"/>
        <v>0</v>
      </c>
      <c r="AY26" s="140" t="s">
        <v>111</v>
      </c>
      <c r="AZ26" s="140" t="s">
        <v>112</v>
      </c>
      <c r="BA26" s="136" t="s">
        <v>113</v>
      </c>
      <c r="BC26" s="139">
        <f t="shared" si="17"/>
        <v>0</v>
      </c>
      <c r="BD26" s="139">
        <f t="shared" si="18"/>
        <v>0</v>
      </c>
      <c r="BE26" s="139">
        <v>0</v>
      </c>
      <c r="BF26" s="139">
        <f>26</f>
        <v>26</v>
      </c>
      <c r="BH26" s="139">
        <f t="shared" si="19"/>
        <v>0</v>
      </c>
      <c r="BI26" s="139">
        <f t="shared" si="20"/>
        <v>0</v>
      </c>
      <c r="BJ26" s="139">
        <f t="shared" si="21"/>
        <v>0</v>
      </c>
    </row>
    <row r="27" spans="1:62" ht="15">
      <c r="A27" s="138" t="s">
        <v>150</v>
      </c>
      <c r="B27" s="138" t="s">
        <v>118</v>
      </c>
      <c r="C27" s="920" t="s">
        <v>119</v>
      </c>
      <c r="D27" s="911"/>
      <c r="E27" s="911"/>
      <c r="F27" s="138" t="s">
        <v>109</v>
      </c>
      <c r="G27" s="139">
        <v>3539.9</v>
      </c>
      <c r="H27" s="577">
        <v>0</v>
      </c>
      <c r="I27" s="139">
        <f t="shared" si="0"/>
        <v>0</v>
      </c>
      <c r="J27" s="139">
        <f t="shared" si="1"/>
        <v>0</v>
      </c>
      <c r="K27" s="139">
        <f t="shared" si="2"/>
        <v>0</v>
      </c>
      <c r="L27" s="140" t="s">
        <v>110</v>
      </c>
      <c r="Z27" s="139">
        <f t="shared" si="3"/>
        <v>0</v>
      </c>
      <c r="AB27" s="139">
        <f t="shared" si="4"/>
        <v>0</v>
      </c>
      <c r="AC27" s="139">
        <f t="shared" si="5"/>
        <v>0</v>
      </c>
      <c r="AD27" s="139">
        <f t="shared" si="6"/>
        <v>0</v>
      </c>
      <c r="AE27" s="139">
        <f t="shared" si="7"/>
        <v>0</v>
      </c>
      <c r="AF27" s="139">
        <f t="shared" si="8"/>
        <v>0</v>
      </c>
      <c r="AG27" s="139">
        <f t="shared" si="9"/>
        <v>0</v>
      </c>
      <c r="AH27" s="139">
        <f t="shared" si="10"/>
        <v>0</v>
      </c>
      <c r="AI27" s="136" t="s">
        <v>105</v>
      </c>
      <c r="AJ27" s="139">
        <f t="shared" si="11"/>
        <v>0</v>
      </c>
      <c r="AK27" s="139">
        <f t="shared" si="12"/>
        <v>0</v>
      </c>
      <c r="AL27" s="139">
        <f t="shared" si="13"/>
        <v>0</v>
      </c>
      <c r="AN27" s="139">
        <v>21</v>
      </c>
      <c r="AO27" s="139">
        <f>H27*0</f>
        <v>0</v>
      </c>
      <c r="AP27" s="139">
        <f>H27*(1-0)</f>
        <v>0</v>
      </c>
      <c r="AQ27" s="140" t="s">
        <v>106</v>
      </c>
      <c r="AV27" s="139">
        <f t="shared" si="14"/>
        <v>0</v>
      </c>
      <c r="AW27" s="139">
        <f t="shared" si="15"/>
        <v>0</v>
      </c>
      <c r="AX27" s="139">
        <f t="shared" si="16"/>
        <v>0</v>
      </c>
      <c r="AY27" s="140" t="s">
        <v>111</v>
      </c>
      <c r="AZ27" s="140" t="s">
        <v>112</v>
      </c>
      <c r="BA27" s="136" t="s">
        <v>113</v>
      </c>
      <c r="BC27" s="139">
        <f t="shared" si="17"/>
        <v>0</v>
      </c>
      <c r="BD27" s="139">
        <f t="shared" si="18"/>
        <v>0</v>
      </c>
      <c r="BE27" s="139">
        <v>0</v>
      </c>
      <c r="BF27" s="139">
        <f>27</f>
        <v>27</v>
      </c>
      <c r="BH27" s="139">
        <f t="shared" si="19"/>
        <v>0</v>
      </c>
      <c r="BI27" s="139">
        <f t="shared" si="20"/>
        <v>0</v>
      </c>
      <c r="BJ27" s="139">
        <f t="shared" si="21"/>
        <v>0</v>
      </c>
    </row>
    <row r="28" spans="1:62" ht="15">
      <c r="A28" s="138" t="s">
        <v>103</v>
      </c>
      <c r="B28" s="138" t="s">
        <v>122</v>
      </c>
      <c r="C28" s="920" t="s">
        <v>123</v>
      </c>
      <c r="D28" s="911"/>
      <c r="E28" s="911"/>
      <c r="F28" s="138" t="s">
        <v>109</v>
      </c>
      <c r="G28" s="139">
        <v>3539.9</v>
      </c>
      <c r="H28" s="577">
        <v>0</v>
      </c>
      <c r="I28" s="139">
        <f t="shared" si="0"/>
        <v>0</v>
      </c>
      <c r="J28" s="139">
        <f t="shared" si="1"/>
        <v>0</v>
      </c>
      <c r="K28" s="139">
        <f t="shared" si="2"/>
        <v>0</v>
      </c>
      <c r="L28" s="140" t="s">
        <v>110</v>
      </c>
      <c r="Z28" s="139">
        <f t="shared" si="3"/>
        <v>0</v>
      </c>
      <c r="AB28" s="139">
        <f t="shared" si="4"/>
        <v>0</v>
      </c>
      <c r="AC28" s="139">
        <f t="shared" si="5"/>
        <v>0</v>
      </c>
      <c r="AD28" s="139">
        <f t="shared" si="6"/>
        <v>0</v>
      </c>
      <c r="AE28" s="139">
        <f t="shared" si="7"/>
        <v>0</v>
      </c>
      <c r="AF28" s="139">
        <f t="shared" si="8"/>
        <v>0</v>
      </c>
      <c r="AG28" s="139">
        <f t="shared" si="9"/>
        <v>0</v>
      </c>
      <c r="AH28" s="139">
        <f t="shared" si="10"/>
        <v>0</v>
      </c>
      <c r="AI28" s="136" t="s">
        <v>105</v>
      </c>
      <c r="AJ28" s="139">
        <f t="shared" si="11"/>
        <v>0</v>
      </c>
      <c r="AK28" s="139">
        <f t="shared" si="12"/>
        <v>0</v>
      </c>
      <c r="AL28" s="139">
        <f t="shared" si="13"/>
        <v>0</v>
      </c>
      <c r="AN28" s="139">
        <v>21</v>
      </c>
      <c r="AO28" s="139">
        <f>H28*0</f>
        <v>0</v>
      </c>
      <c r="AP28" s="139">
        <f>H28*(1-0)</f>
        <v>0</v>
      </c>
      <c r="AQ28" s="140" t="s">
        <v>106</v>
      </c>
      <c r="AV28" s="139">
        <f t="shared" si="14"/>
        <v>0</v>
      </c>
      <c r="AW28" s="139">
        <f t="shared" si="15"/>
        <v>0</v>
      </c>
      <c r="AX28" s="139">
        <f t="shared" si="16"/>
        <v>0</v>
      </c>
      <c r="AY28" s="140" t="s">
        <v>111</v>
      </c>
      <c r="AZ28" s="140" t="s">
        <v>112</v>
      </c>
      <c r="BA28" s="136" t="s">
        <v>113</v>
      </c>
      <c r="BC28" s="139">
        <f t="shared" si="17"/>
        <v>0</v>
      </c>
      <c r="BD28" s="139">
        <f t="shared" si="18"/>
        <v>0</v>
      </c>
      <c r="BE28" s="139">
        <v>0</v>
      </c>
      <c r="BF28" s="139">
        <f>28</f>
        <v>28</v>
      </c>
      <c r="BH28" s="139">
        <f t="shared" si="19"/>
        <v>0</v>
      </c>
      <c r="BI28" s="139">
        <f t="shared" si="20"/>
        <v>0</v>
      </c>
      <c r="BJ28" s="139">
        <f t="shared" si="21"/>
        <v>0</v>
      </c>
    </row>
    <row r="29" spans="1:62" ht="15">
      <c r="A29" s="138" t="s">
        <v>155</v>
      </c>
      <c r="B29" s="138" t="s">
        <v>125</v>
      </c>
      <c r="C29" s="920" t="s">
        <v>126</v>
      </c>
      <c r="D29" s="911"/>
      <c r="E29" s="911"/>
      <c r="F29" s="138" t="s">
        <v>109</v>
      </c>
      <c r="G29" s="139">
        <v>3273.9</v>
      </c>
      <c r="H29" s="577">
        <v>0</v>
      </c>
      <c r="I29" s="139">
        <f t="shared" si="0"/>
        <v>0</v>
      </c>
      <c r="J29" s="139">
        <f t="shared" si="1"/>
        <v>0</v>
      </c>
      <c r="K29" s="139">
        <f t="shared" si="2"/>
        <v>0</v>
      </c>
      <c r="L29" s="140" t="s">
        <v>110</v>
      </c>
      <c r="Z29" s="139">
        <f t="shared" si="3"/>
        <v>0</v>
      </c>
      <c r="AB29" s="139">
        <f t="shared" si="4"/>
        <v>0</v>
      </c>
      <c r="AC29" s="139">
        <f t="shared" si="5"/>
        <v>0</v>
      </c>
      <c r="AD29" s="139">
        <f t="shared" si="6"/>
        <v>0</v>
      </c>
      <c r="AE29" s="139">
        <f t="shared" si="7"/>
        <v>0</v>
      </c>
      <c r="AF29" s="139">
        <f t="shared" si="8"/>
        <v>0</v>
      </c>
      <c r="AG29" s="139">
        <f t="shared" si="9"/>
        <v>0</v>
      </c>
      <c r="AH29" s="139">
        <f t="shared" si="10"/>
        <v>0</v>
      </c>
      <c r="AI29" s="136" t="s">
        <v>105</v>
      </c>
      <c r="AJ29" s="139">
        <f t="shared" si="11"/>
        <v>0</v>
      </c>
      <c r="AK29" s="139">
        <f t="shared" si="12"/>
        <v>0</v>
      </c>
      <c r="AL29" s="139">
        <f t="shared" si="13"/>
        <v>0</v>
      </c>
      <c r="AN29" s="139">
        <v>21</v>
      </c>
      <c r="AO29" s="139">
        <f>H29*0</f>
        <v>0</v>
      </c>
      <c r="AP29" s="139">
        <f>H29*(1-0)</f>
        <v>0</v>
      </c>
      <c r="AQ29" s="140" t="s">
        <v>106</v>
      </c>
      <c r="AV29" s="139">
        <f t="shared" si="14"/>
        <v>0</v>
      </c>
      <c r="AW29" s="139">
        <f t="shared" si="15"/>
        <v>0</v>
      </c>
      <c r="AX29" s="139">
        <f t="shared" si="16"/>
        <v>0</v>
      </c>
      <c r="AY29" s="140" t="s">
        <v>111</v>
      </c>
      <c r="AZ29" s="140" t="s">
        <v>112</v>
      </c>
      <c r="BA29" s="136" t="s">
        <v>113</v>
      </c>
      <c r="BC29" s="139">
        <f t="shared" si="17"/>
        <v>0</v>
      </c>
      <c r="BD29" s="139">
        <f t="shared" si="18"/>
        <v>0</v>
      </c>
      <c r="BE29" s="139">
        <v>0</v>
      </c>
      <c r="BF29" s="139">
        <f>29</f>
        <v>29</v>
      </c>
      <c r="BH29" s="139">
        <f t="shared" si="19"/>
        <v>0</v>
      </c>
      <c r="BI29" s="139">
        <f t="shared" si="20"/>
        <v>0</v>
      </c>
      <c r="BJ29" s="139">
        <f t="shared" si="21"/>
        <v>0</v>
      </c>
    </row>
    <row r="30" spans="1:62" ht="15">
      <c r="A30" s="138" t="s">
        <v>158</v>
      </c>
      <c r="B30" s="138" t="s">
        <v>1975</v>
      </c>
      <c r="C30" s="920" t="s">
        <v>1976</v>
      </c>
      <c r="D30" s="911"/>
      <c r="E30" s="911"/>
      <c r="F30" s="138" t="s">
        <v>109</v>
      </c>
      <c r="G30" s="139">
        <v>266</v>
      </c>
      <c r="H30" s="577">
        <v>0</v>
      </c>
      <c r="I30" s="139">
        <f t="shared" si="0"/>
        <v>0</v>
      </c>
      <c r="J30" s="139">
        <f t="shared" si="1"/>
        <v>0</v>
      </c>
      <c r="K30" s="139">
        <f t="shared" si="2"/>
        <v>0</v>
      </c>
      <c r="L30" s="140" t="s">
        <v>120</v>
      </c>
      <c r="Z30" s="139">
        <f t="shared" si="3"/>
        <v>0</v>
      </c>
      <c r="AB30" s="139">
        <f t="shared" si="4"/>
        <v>0</v>
      </c>
      <c r="AC30" s="139">
        <f t="shared" si="5"/>
        <v>0</v>
      </c>
      <c r="AD30" s="139">
        <f t="shared" si="6"/>
        <v>0</v>
      </c>
      <c r="AE30" s="139">
        <f t="shared" si="7"/>
        <v>0</v>
      </c>
      <c r="AF30" s="139">
        <f t="shared" si="8"/>
        <v>0</v>
      </c>
      <c r="AG30" s="139">
        <f t="shared" si="9"/>
        <v>0</v>
      </c>
      <c r="AH30" s="139">
        <f t="shared" si="10"/>
        <v>0</v>
      </c>
      <c r="AI30" s="136" t="s">
        <v>105</v>
      </c>
      <c r="AJ30" s="139">
        <f t="shared" si="11"/>
        <v>0</v>
      </c>
      <c r="AK30" s="139">
        <f t="shared" si="12"/>
        <v>0</v>
      </c>
      <c r="AL30" s="139">
        <f t="shared" si="13"/>
        <v>0</v>
      </c>
      <c r="AN30" s="139">
        <v>21</v>
      </c>
      <c r="AO30" s="139">
        <f>H30*0</f>
        <v>0</v>
      </c>
      <c r="AP30" s="139">
        <f>H30*(1-0)</f>
        <v>0</v>
      </c>
      <c r="AQ30" s="140" t="s">
        <v>106</v>
      </c>
      <c r="AV30" s="139">
        <f t="shared" si="14"/>
        <v>0</v>
      </c>
      <c r="AW30" s="139">
        <f t="shared" si="15"/>
        <v>0</v>
      </c>
      <c r="AX30" s="139">
        <f t="shared" si="16"/>
        <v>0</v>
      </c>
      <c r="AY30" s="140" t="s">
        <v>111</v>
      </c>
      <c r="AZ30" s="140" t="s">
        <v>112</v>
      </c>
      <c r="BA30" s="136" t="s">
        <v>113</v>
      </c>
      <c r="BC30" s="139">
        <f t="shared" si="17"/>
        <v>0</v>
      </c>
      <c r="BD30" s="139">
        <f t="shared" si="18"/>
        <v>0</v>
      </c>
      <c r="BE30" s="139">
        <v>0</v>
      </c>
      <c r="BF30" s="139">
        <f>30</f>
        <v>30</v>
      </c>
      <c r="BH30" s="139">
        <f t="shared" si="19"/>
        <v>0</v>
      </c>
      <c r="BI30" s="139">
        <f t="shared" si="20"/>
        <v>0</v>
      </c>
      <c r="BJ30" s="139">
        <f t="shared" si="21"/>
        <v>0</v>
      </c>
    </row>
    <row r="31" spans="1:47" ht="15">
      <c r="A31" s="156"/>
      <c r="B31" s="157" t="s">
        <v>127</v>
      </c>
      <c r="C31" s="932" t="s">
        <v>128</v>
      </c>
      <c r="D31" s="933"/>
      <c r="E31" s="933"/>
      <c r="F31" s="156" t="s">
        <v>70</v>
      </c>
      <c r="G31" s="156" t="s">
        <v>70</v>
      </c>
      <c r="H31" s="156" t="s">
        <v>70</v>
      </c>
      <c r="I31" s="158">
        <f>SUM(I32:I35)</f>
        <v>0</v>
      </c>
      <c r="J31" s="158">
        <f>SUM(J32:J35)</f>
        <v>0</v>
      </c>
      <c r="K31" s="158">
        <f>SUM(K32:K35)</f>
        <v>0</v>
      </c>
      <c r="L31" s="159"/>
      <c r="AI31" s="136" t="s">
        <v>105</v>
      </c>
      <c r="AS31" s="137">
        <f>SUM(AJ32:AJ35)</f>
        <v>0</v>
      </c>
      <c r="AT31" s="137">
        <f>SUM(AK32:AK35)</f>
        <v>0</v>
      </c>
      <c r="AU31" s="137">
        <f>SUM(AL32:AL35)</f>
        <v>0</v>
      </c>
    </row>
    <row r="32" spans="1:62" ht="15">
      <c r="A32" s="138" t="s">
        <v>163</v>
      </c>
      <c r="B32" s="138" t="s">
        <v>130</v>
      </c>
      <c r="C32" s="920" t="s">
        <v>131</v>
      </c>
      <c r="D32" s="911"/>
      <c r="E32" s="911"/>
      <c r="F32" s="138" t="s">
        <v>132</v>
      </c>
      <c r="G32" s="139">
        <v>4777.2</v>
      </c>
      <c r="H32" s="577">
        <v>0</v>
      </c>
      <c r="I32" s="139">
        <f>G32*AO32</f>
        <v>0</v>
      </c>
      <c r="J32" s="139">
        <f>G32*AP32</f>
        <v>0</v>
      </c>
      <c r="K32" s="139">
        <f>G32*H32</f>
        <v>0</v>
      </c>
      <c r="L32" s="140" t="s">
        <v>110</v>
      </c>
      <c r="Z32" s="139">
        <f>IF(AQ32="5",BJ32,0)</f>
        <v>0</v>
      </c>
      <c r="AB32" s="139">
        <f>IF(AQ32="1",BH32,0)</f>
        <v>0</v>
      </c>
      <c r="AC32" s="139">
        <f>IF(AQ32="1",BI32,0)</f>
        <v>0</v>
      </c>
      <c r="AD32" s="139">
        <f>IF(AQ32="7",BH32,0)</f>
        <v>0</v>
      </c>
      <c r="AE32" s="139">
        <f>IF(AQ32="7",BI32,0)</f>
        <v>0</v>
      </c>
      <c r="AF32" s="139">
        <f>IF(AQ32="2",BH32,0)</f>
        <v>0</v>
      </c>
      <c r="AG32" s="139">
        <f>IF(AQ32="2",BI32,0)</f>
        <v>0</v>
      </c>
      <c r="AH32" s="139">
        <f>IF(AQ32="0",BJ32,0)</f>
        <v>0</v>
      </c>
      <c r="AI32" s="136" t="s">
        <v>105</v>
      </c>
      <c r="AJ32" s="139">
        <f>IF(AN32=0,K32,0)</f>
        <v>0</v>
      </c>
      <c r="AK32" s="139">
        <f>IF(AN32=15,K32,0)</f>
        <v>0</v>
      </c>
      <c r="AL32" s="139">
        <f>IF(AN32=21,K32,0)</f>
        <v>0</v>
      </c>
      <c r="AN32" s="139">
        <v>21</v>
      </c>
      <c r="AO32" s="139">
        <f>H32*0.0106885245901639</f>
        <v>0</v>
      </c>
      <c r="AP32" s="139">
        <f>H32*(1-0.0106885245901639)</f>
        <v>0</v>
      </c>
      <c r="AQ32" s="140" t="s">
        <v>124</v>
      </c>
      <c r="AV32" s="139">
        <f>AW32+AX32</f>
        <v>0</v>
      </c>
      <c r="AW32" s="139">
        <f>G32*AO32</f>
        <v>0</v>
      </c>
      <c r="AX32" s="139">
        <f>G32*AP32</f>
        <v>0</v>
      </c>
      <c r="AY32" s="140" t="s">
        <v>133</v>
      </c>
      <c r="AZ32" s="140" t="s">
        <v>134</v>
      </c>
      <c r="BA32" s="136" t="s">
        <v>113</v>
      </c>
      <c r="BC32" s="139">
        <f>AW32+AX32</f>
        <v>0</v>
      </c>
      <c r="BD32" s="139">
        <f>H32/(100-BE32)*100</f>
        <v>0</v>
      </c>
      <c r="BE32" s="139">
        <v>0</v>
      </c>
      <c r="BF32" s="139">
        <f>32</f>
        <v>32</v>
      </c>
      <c r="BH32" s="139">
        <f>G32*AO32</f>
        <v>0</v>
      </c>
      <c r="BI32" s="139">
        <f>G32*AP32</f>
        <v>0</v>
      </c>
      <c r="BJ32" s="139">
        <f>G32*H32</f>
        <v>0</v>
      </c>
    </row>
    <row r="33" spans="2:12" ht="12.75" customHeight="1">
      <c r="B33" s="141" t="s">
        <v>67</v>
      </c>
      <c r="C33" s="939" t="s">
        <v>1977</v>
      </c>
      <c r="D33" s="940"/>
      <c r="E33" s="940"/>
      <c r="F33" s="940"/>
      <c r="G33" s="940"/>
      <c r="H33" s="940"/>
      <c r="I33" s="940"/>
      <c r="J33" s="940"/>
      <c r="K33" s="940"/>
      <c r="L33" s="940"/>
    </row>
    <row r="34" spans="1:62" ht="15">
      <c r="A34" s="138" t="s">
        <v>166</v>
      </c>
      <c r="B34" s="138" t="s">
        <v>137</v>
      </c>
      <c r="C34" s="920" t="s">
        <v>1974</v>
      </c>
      <c r="D34" s="911"/>
      <c r="E34" s="911"/>
      <c r="F34" s="138" t="s">
        <v>132</v>
      </c>
      <c r="G34" s="139">
        <v>3078</v>
      </c>
      <c r="H34" s="577">
        <v>0</v>
      </c>
      <c r="I34" s="139">
        <f>G34*AO34</f>
        <v>0</v>
      </c>
      <c r="J34" s="139">
        <f>G34*AP34</f>
        <v>0</v>
      </c>
      <c r="K34" s="139">
        <f>G34*H34</f>
        <v>0</v>
      </c>
      <c r="L34" s="140" t="s">
        <v>110</v>
      </c>
      <c r="Z34" s="139">
        <f>IF(AQ34="5",BJ34,0)</f>
        <v>0</v>
      </c>
      <c r="AB34" s="139">
        <f>IF(AQ34="1",BH34,0)</f>
        <v>0</v>
      </c>
      <c r="AC34" s="139">
        <f>IF(AQ34="1",BI34,0)</f>
        <v>0</v>
      </c>
      <c r="AD34" s="139">
        <f>IF(AQ34="7",BH34,0)</f>
        <v>0</v>
      </c>
      <c r="AE34" s="139">
        <f>IF(AQ34="7",BI34,0)</f>
        <v>0</v>
      </c>
      <c r="AF34" s="139">
        <f>IF(AQ34="2",BH34,0)</f>
        <v>0</v>
      </c>
      <c r="AG34" s="139">
        <f>IF(AQ34="2",BI34,0)</f>
        <v>0</v>
      </c>
      <c r="AH34" s="139">
        <f>IF(AQ34="0",BJ34,0)</f>
        <v>0</v>
      </c>
      <c r="AI34" s="136" t="s">
        <v>105</v>
      </c>
      <c r="AJ34" s="139">
        <f>IF(AN34=0,K34,0)</f>
        <v>0</v>
      </c>
      <c r="AK34" s="139">
        <f>IF(AN34=15,K34,0)</f>
        <v>0</v>
      </c>
      <c r="AL34" s="139">
        <f>IF(AN34=21,K34,0)</f>
        <v>0</v>
      </c>
      <c r="AN34" s="139">
        <v>21</v>
      </c>
      <c r="AO34" s="139">
        <f>H34*0</f>
        <v>0</v>
      </c>
      <c r="AP34" s="139">
        <f>H34*(1-0)</f>
        <v>0</v>
      </c>
      <c r="AQ34" s="140" t="s">
        <v>124</v>
      </c>
      <c r="AV34" s="139">
        <f>AW34+AX34</f>
        <v>0</v>
      </c>
      <c r="AW34" s="139">
        <f>G34*AO34</f>
        <v>0</v>
      </c>
      <c r="AX34" s="139">
        <f>G34*AP34</f>
        <v>0</v>
      </c>
      <c r="AY34" s="140" t="s">
        <v>133</v>
      </c>
      <c r="AZ34" s="140" t="s">
        <v>134</v>
      </c>
      <c r="BA34" s="136" t="s">
        <v>113</v>
      </c>
      <c r="BC34" s="139">
        <f>AW34+AX34</f>
        <v>0</v>
      </c>
      <c r="BD34" s="139">
        <f>H34/(100-BE34)*100</f>
        <v>0</v>
      </c>
      <c r="BE34" s="139">
        <v>0</v>
      </c>
      <c r="BF34" s="139">
        <f>34</f>
        <v>34</v>
      </c>
      <c r="BH34" s="139">
        <f>G34*AO34</f>
        <v>0</v>
      </c>
      <c r="BI34" s="139">
        <f>G34*AP34</f>
        <v>0</v>
      </c>
      <c r="BJ34" s="139">
        <f>G34*H34</f>
        <v>0</v>
      </c>
    </row>
    <row r="35" spans="1:62" ht="15">
      <c r="A35" s="138" t="s">
        <v>169</v>
      </c>
      <c r="B35" s="138" t="s">
        <v>140</v>
      </c>
      <c r="C35" s="920" t="s">
        <v>141</v>
      </c>
      <c r="D35" s="911"/>
      <c r="E35" s="911"/>
      <c r="F35" s="138" t="s">
        <v>132</v>
      </c>
      <c r="G35" s="139">
        <v>1699.2</v>
      </c>
      <c r="H35" s="577">
        <v>0</v>
      </c>
      <c r="I35" s="139">
        <f>G35*AO35</f>
        <v>0</v>
      </c>
      <c r="J35" s="139">
        <f>G35*AP35</f>
        <v>0</v>
      </c>
      <c r="K35" s="139">
        <f>G35*H35</f>
        <v>0</v>
      </c>
      <c r="L35" s="140" t="s">
        <v>110</v>
      </c>
      <c r="Z35" s="139">
        <f>IF(AQ35="5",BJ35,0)</f>
        <v>0</v>
      </c>
      <c r="AB35" s="139">
        <f>IF(AQ35="1",BH35,0)</f>
        <v>0</v>
      </c>
      <c r="AC35" s="139">
        <f>IF(AQ35="1",BI35,0)</f>
        <v>0</v>
      </c>
      <c r="AD35" s="139">
        <f>IF(AQ35="7",BH35,0)</f>
        <v>0</v>
      </c>
      <c r="AE35" s="139">
        <f>IF(AQ35="7",BI35,0)</f>
        <v>0</v>
      </c>
      <c r="AF35" s="139">
        <f>IF(AQ35="2",BH35,0)</f>
        <v>0</v>
      </c>
      <c r="AG35" s="139">
        <f>IF(AQ35="2",BI35,0)</f>
        <v>0</v>
      </c>
      <c r="AH35" s="139">
        <f>IF(AQ35="0",BJ35,0)</f>
        <v>0</v>
      </c>
      <c r="AI35" s="136" t="s">
        <v>105</v>
      </c>
      <c r="AJ35" s="139">
        <f>IF(AN35=0,K35,0)</f>
        <v>0</v>
      </c>
      <c r="AK35" s="139">
        <f>IF(AN35=15,K35,0)</f>
        <v>0</v>
      </c>
      <c r="AL35" s="139">
        <f>IF(AN35=21,K35,0)</f>
        <v>0</v>
      </c>
      <c r="AN35" s="139">
        <v>21</v>
      </c>
      <c r="AO35" s="139">
        <f>H35*0</f>
        <v>0</v>
      </c>
      <c r="AP35" s="139">
        <f>H35*(1-0)</f>
        <v>0</v>
      </c>
      <c r="AQ35" s="140" t="s">
        <v>124</v>
      </c>
      <c r="AV35" s="139">
        <f>AW35+AX35</f>
        <v>0</v>
      </c>
      <c r="AW35" s="139">
        <f>G35*AO35</f>
        <v>0</v>
      </c>
      <c r="AX35" s="139">
        <f>G35*AP35</f>
        <v>0</v>
      </c>
      <c r="AY35" s="140" t="s">
        <v>133</v>
      </c>
      <c r="AZ35" s="140" t="s">
        <v>134</v>
      </c>
      <c r="BA35" s="136" t="s">
        <v>113</v>
      </c>
      <c r="BC35" s="139">
        <f>AW35+AX35</f>
        <v>0</v>
      </c>
      <c r="BD35" s="139">
        <f>H35/(100-BE35)*100</f>
        <v>0</v>
      </c>
      <c r="BE35" s="139">
        <v>0</v>
      </c>
      <c r="BF35" s="139">
        <f>35</f>
        <v>35</v>
      </c>
      <c r="BH35" s="139">
        <f>G35*AO35</f>
        <v>0</v>
      </c>
      <c r="BI35" s="139">
        <f>G35*AP35</f>
        <v>0</v>
      </c>
      <c r="BJ35" s="139">
        <f>G35*H35</f>
        <v>0</v>
      </c>
    </row>
    <row r="36" spans="2:12" ht="12.75" customHeight="1">
      <c r="B36" s="141" t="s">
        <v>67</v>
      </c>
      <c r="C36" s="939" t="s">
        <v>1978</v>
      </c>
      <c r="D36" s="940"/>
      <c r="E36" s="940"/>
      <c r="F36" s="940"/>
      <c r="G36" s="940"/>
      <c r="H36" s="940"/>
      <c r="I36" s="940"/>
      <c r="J36" s="940"/>
      <c r="K36" s="940"/>
      <c r="L36" s="940"/>
    </row>
    <row r="37" spans="1:12" ht="15">
      <c r="A37" s="152"/>
      <c r="B37" s="153"/>
      <c r="C37" s="937" t="s">
        <v>302</v>
      </c>
      <c r="D37" s="938"/>
      <c r="E37" s="938"/>
      <c r="F37" s="152" t="s">
        <v>70</v>
      </c>
      <c r="G37" s="152" t="s">
        <v>70</v>
      </c>
      <c r="H37" s="152" t="s">
        <v>70</v>
      </c>
      <c r="I37" s="154">
        <f>I38+I43+I48+I55+I57</f>
        <v>0</v>
      </c>
      <c r="J37" s="154">
        <f>J38+J43+J48+J55+J57</f>
        <v>0</v>
      </c>
      <c r="K37" s="154">
        <f>K38+K43+K48+K55+K57</f>
        <v>0</v>
      </c>
      <c r="L37" s="155"/>
    </row>
    <row r="38" spans="1:47" ht="15">
      <c r="A38" s="156"/>
      <c r="B38" s="157" t="s">
        <v>103</v>
      </c>
      <c r="C38" s="932" t="s">
        <v>104</v>
      </c>
      <c r="D38" s="933"/>
      <c r="E38" s="933"/>
      <c r="F38" s="156" t="s">
        <v>70</v>
      </c>
      <c r="G38" s="156" t="s">
        <v>70</v>
      </c>
      <c r="H38" s="156" t="s">
        <v>70</v>
      </c>
      <c r="I38" s="158">
        <f>SUM(I39:I41)</f>
        <v>0</v>
      </c>
      <c r="J38" s="158">
        <f>SUM(J39:J41)</f>
        <v>0</v>
      </c>
      <c r="K38" s="158">
        <f>SUM(K39:K41)</f>
        <v>0</v>
      </c>
      <c r="L38" s="159"/>
      <c r="AI38" s="136" t="s">
        <v>144</v>
      </c>
      <c r="AS38" s="137">
        <f>SUM(AJ39:AJ41)</f>
        <v>0</v>
      </c>
      <c r="AT38" s="137">
        <f>SUM(AK39:AK41)</f>
        <v>0</v>
      </c>
      <c r="AU38" s="137">
        <f>SUM(AL39:AL41)</f>
        <v>0</v>
      </c>
    </row>
    <row r="39" spans="1:62" ht="15">
      <c r="A39" s="138" t="s">
        <v>172</v>
      </c>
      <c r="B39" s="138" t="s">
        <v>310</v>
      </c>
      <c r="C39" s="920" t="s">
        <v>311</v>
      </c>
      <c r="D39" s="911"/>
      <c r="E39" s="911"/>
      <c r="F39" s="138" t="s">
        <v>312</v>
      </c>
      <c r="G39" s="139">
        <v>1</v>
      </c>
      <c r="H39" s="577">
        <v>0</v>
      </c>
      <c r="I39" s="139">
        <f>G39*AO39</f>
        <v>0</v>
      </c>
      <c r="J39" s="139">
        <f>G39*AP39</f>
        <v>0</v>
      </c>
      <c r="K39" s="139">
        <f>G39*H39</f>
        <v>0</v>
      </c>
      <c r="L39" s="140"/>
      <c r="Z39" s="139">
        <f>IF(AQ39="5",BJ39,0)</f>
        <v>0</v>
      </c>
      <c r="AB39" s="139">
        <f>IF(AQ39="1",BH39,0)</f>
        <v>0</v>
      </c>
      <c r="AC39" s="139">
        <f>IF(AQ39="1",BI39,0)</f>
        <v>0</v>
      </c>
      <c r="AD39" s="139">
        <f>IF(AQ39="7",BH39,0)</f>
        <v>0</v>
      </c>
      <c r="AE39" s="139">
        <f>IF(AQ39="7",BI39,0)</f>
        <v>0</v>
      </c>
      <c r="AF39" s="139">
        <f>IF(AQ39="2",BH39,0)</f>
        <v>0</v>
      </c>
      <c r="AG39" s="139">
        <f>IF(AQ39="2",BI39,0)</f>
        <v>0</v>
      </c>
      <c r="AH39" s="139">
        <f>IF(AQ39="0",BJ39,0)</f>
        <v>0</v>
      </c>
      <c r="AI39" s="136" t="s">
        <v>144</v>
      </c>
      <c r="AJ39" s="139">
        <f>IF(AN39=0,K39,0)</f>
        <v>0</v>
      </c>
      <c r="AK39" s="139">
        <f>IF(AN39=15,K39,0)</f>
        <v>0</v>
      </c>
      <c r="AL39" s="139">
        <f>IF(AN39=21,K39,0)</f>
        <v>0</v>
      </c>
      <c r="AN39" s="139">
        <v>21</v>
      </c>
      <c r="AO39" s="139">
        <f>H39*0</f>
        <v>0</v>
      </c>
      <c r="AP39" s="139">
        <f>H39*(1-0)</f>
        <v>0</v>
      </c>
      <c r="AQ39" s="140" t="s">
        <v>106</v>
      </c>
      <c r="AV39" s="139">
        <f>AW39+AX39</f>
        <v>0</v>
      </c>
      <c r="AW39" s="139">
        <f>G39*AO39</f>
        <v>0</v>
      </c>
      <c r="AX39" s="139">
        <f>G39*AP39</f>
        <v>0</v>
      </c>
      <c r="AY39" s="140" t="s">
        <v>111</v>
      </c>
      <c r="AZ39" s="140" t="s">
        <v>148</v>
      </c>
      <c r="BA39" s="136" t="s">
        <v>149</v>
      </c>
      <c r="BC39" s="139">
        <f>AW39+AX39</f>
        <v>0</v>
      </c>
      <c r="BD39" s="139">
        <f>H39/(100-BE39)*100</f>
        <v>0</v>
      </c>
      <c r="BE39" s="139">
        <v>0</v>
      </c>
      <c r="BF39" s="139">
        <f>39</f>
        <v>39</v>
      </c>
      <c r="BH39" s="139">
        <f>G39*AO39</f>
        <v>0</v>
      </c>
      <c r="BI39" s="139">
        <f>G39*AP39</f>
        <v>0</v>
      </c>
      <c r="BJ39" s="139">
        <f>G39*H39</f>
        <v>0</v>
      </c>
    </row>
    <row r="40" spans="1:62" ht="15">
      <c r="A40" s="138" t="s">
        <v>177</v>
      </c>
      <c r="B40" s="138" t="s">
        <v>1979</v>
      </c>
      <c r="C40" s="920" t="s">
        <v>1980</v>
      </c>
      <c r="D40" s="911"/>
      <c r="E40" s="911"/>
      <c r="F40" s="138" t="s">
        <v>306</v>
      </c>
      <c r="G40" s="139">
        <v>1</v>
      </c>
      <c r="H40" s="577">
        <v>0</v>
      </c>
      <c r="I40" s="139">
        <f>G40*AO40</f>
        <v>0</v>
      </c>
      <c r="J40" s="139">
        <f>G40*AP40</f>
        <v>0</v>
      </c>
      <c r="K40" s="139">
        <f>G40*H40</f>
        <v>0</v>
      </c>
      <c r="L40" s="140"/>
      <c r="Z40" s="139">
        <f>IF(AQ40="5",BJ40,0)</f>
        <v>0</v>
      </c>
      <c r="AB40" s="139">
        <f>IF(AQ40="1",BH40,0)</f>
        <v>0</v>
      </c>
      <c r="AC40" s="139">
        <f>IF(AQ40="1",BI40,0)</f>
        <v>0</v>
      </c>
      <c r="AD40" s="139">
        <f>IF(AQ40="7",BH40,0)</f>
        <v>0</v>
      </c>
      <c r="AE40" s="139">
        <f>IF(AQ40="7",BI40,0)</f>
        <v>0</v>
      </c>
      <c r="AF40" s="139">
        <f>IF(AQ40="2",BH40,0)</f>
        <v>0</v>
      </c>
      <c r="AG40" s="139">
        <f>IF(AQ40="2",BI40,0)</f>
        <v>0</v>
      </c>
      <c r="AH40" s="139">
        <f>IF(AQ40="0",BJ40,0)</f>
        <v>0</v>
      </c>
      <c r="AI40" s="136" t="s">
        <v>144</v>
      </c>
      <c r="AJ40" s="139">
        <f>IF(AN40=0,K40,0)</f>
        <v>0</v>
      </c>
      <c r="AK40" s="139">
        <f>IF(AN40=15,K40,0)</f>
        <v>0</v>
      </c>
      <c r="AL40" s="139">
        <f>IF(AN40=21,K40,0)</f>
        <v>0</v>
      </c>
      <c r="AN40" s="139">
        <v>21</v>
      </c>
      <c r="AO40" s="139">
        <f>H40*0</f>
        <v>0</v>
      </c>
      <c r="AP40" s="139">
        <f>H40*(1-0)</f>
        <v>0</v>
      </c>
      <c r="AQ40" s="140" t="s">
        <v>106</v>
      </c>
      <c r="AV40" s="139">
        <f>AW40+AX40</f>
        <v>0</v>
      </c>
      <c r="AW40" s="139">
        <f>G40*AO40</f>
        <v>0</v>
      </c>
      <c r="AX40" s="139">
        <f>G40*AP40</f>
        <v>0</v>
      </c>
      <c r="AY40" s="140" t="s">
        <v>111</v>
      </c>
      <c r="AZ40" s="140" t="s">
        <v>148</v>
      </c>
      <c r="BA40" s="136" t="s">
        <v>149</v>
      </c>
      <c r="BC40" s="139">
        <f>AW40+AX40</f>
        <v>0</v>
      </c>
      <c r="BD40" s="139">
        <f>H40/(100-BE40)*100</f>
        <v>0</v>
      </c>
      <c r="BE40" s="139">
        <v>0</v>
      </c>
      <c r="BF40" s="139">
        <f>40</f>
        <v>40</v>
      </c>
      <c r="BH40" s="139">
        <f>G40*AO40</f>
        <v>0</v>
      </c>
      <c r="BI40" s="139">
        <f>G40*AP40</f>
        <v>0</v>
      </c>
      <c r="BJ40" s="139">
        <f>G40*H40</f>
        <v>0</v>
      </c>
    </row>
    <row r="41" spans="1:62" ht="15">
      <c r="A41" s="138" t="s">
        <v>180</v>
      </c>
      <c r="B41" s="138" t="s">
        <v>280</v>
      </c>
      <c r="C41" s="920" t="s">
        <v>315</v>
      </c>
      <c r="D41" s="911"/>
      <c r="E41" s="911"/>
      <c r="F41" s="138" t="s">
        <v>253</v>
      </c>
      <c r="G41" s="139">
        <v>91.2</v>
      </c>
      <c r="H41" s="577">
        <v>0</v>
      </c>
      <c r="I41" s="139">
        <f>G41*AO41</f>
        <v>0</v>
      </c>
      <c r="J41" s="139">
        <f>G41*AP41</f>
        <v>0</v>
      </c>
      <c r="K41" s="139">
        <f>G41*H41</f>
        <v>0</v>
      </c>
      <c r="L41" s="140" t="s">
        <v>110</v>
      </c>
      <c r="Z41" s="139">
        <f>IF(AQ41="5",BJ41,0)</f>
        <v>0</v>
      </c>
      <c r="AB41" s="139">
        <f>IF(AQ41="1",BH41,0)</f>
        <v>0</v>
      </c>
      <c r="AC41" s="139">
        <f>IF(AQ41="1",BI41,0)</f>
        <v>0</v>
      </c>
      <c r="AD41" s="139">
        <f>IF(AQ41="7",BH41,0)</f>
        <v>0</v>
      </c>
      <c r="AE41" s="139">
        <f>IF(AQ41="7",BI41,0)</f>
        <v>0</v>
      </c>
      <c r="AF41" s="139">
        <f>IF(AQ41="2",BH41,0)</f>
        <v>0</v>
      </c>
      <c r="AG41" s="139">
        <f>IF(AQ41="2",BI41,0)</f>
        <v>0</v>
      </c>
      <c r="AH41" s="139">
        <f>IF(AQ41="0",BJ41,0)</f>
        <v>0</v>
      </c>
      <c r="AI41" s="136" t="s">
        <v>144</v>
      </c>
      <c r="AJ41" s="139">
        <f>IF(AN41=0,K41,0)</f>
        <v>0</v>
      </c>
      <c r="AK41" s="139">
        <f>IF(AN41=15,K41,0)</f>
        <v>0</v>
      </c>
      <c r="AL41" s="139">
        <f>IF(AN41=21,K41,0)</f>
        <v>0</v>
      </c>
      <c r="AN41" s="139">
        <v>21</v>
      </c>
      <c r="AO41" s="139">
        <f>H41*0</f>
        <v>0</v>
      </c>
      <c r="AP41" s="139">
        <f>H41*(1-0)</f>
        <v>0</v>
      </c>
      <c r="AQ41" s="140" t="s">
        <v>106</v>
      </c>
      <c r="AV41" s="139">
        <f>AW41+AX41</f>
        <v>0</v>
      </c>
      <c r="AW41" s="139">
        <f>G41*AO41</f>
        <v>0</v>
      </c>
      <c r="AX41" s="139">
        <f>G41*AP41</f>
        <v>0</v>
      </c>
      <c r="AY41" s="140" t="s">
        <v>111</v>
      </c>
      <c r="AZ41" s="140" t="s">
        <v>148</v>
      </c>
      <c r="BA41" s="136" t="s">
        <v>149</v>
      </c>
      <c r="BC41" s="139">
        <f>AW41+AX41</f>
        <v>0</v>
      </c>
      <c r="BD41" s="139">
        <f>H41/(100-BE41)*100</f>
        <v>0</v>
      </c>
      <c r="BE41" s="139">
        <v>0</v>
      </c>
      <c r="BF41" s="139">
        <f>41</f>
        <v>41</v>
      </c>
      <c r="BH41" s="139">
        <f>G41*AO41</f>
        <v>0</v>
      </c>
      <c r="BI41" s="139">
        <f>G41*AP41</f>
        <v>0</v>
      </c>
      <c r="BJ41" s="139">
        <f>G41*H41</f>
        <v>0</v>
      </c>
    </row>
    <row r="42" spans="2:12" ht="51.3" customHeight="1">
      <c r="B42" s="141" t="s">
        <v>67</v>
      </c>
      <c r="C42" s="939" t="s">
        <v>1981</v>
      </c>
      <c r="D42" s="940"/>
      <c r="E42" s="940"/>
      <c r="F42" s="940"/>
      <c r="G42" s="940"/>
      <c r="H42" s="940"/>
      <c r="I42" s="940"/>
      <c r="J42" s="940"/>
      <c r="K42" s="940"/>
      <c r="L42" s="940"/>
    </row>
    <row r="43" spans="1:47" ht="15">
      <c r="A43" s="156"/>
      <c r="B43" s="157" t="s">
        <v>169</v>
      </c>
      <c r="C43" s="932" t="s">
        <v>278</v>
      </c>
      <c r="D43" s="933"/>
      <c r="E43" s="933"/>
      <c r="F43" s="156" t="s">
        <v>70</v>
      </c>
      <c r="G43" s="156" t="s">
        <v>70</v>
      </c>
      <c r="H43" s="156" t="s">
        <v>70</v>
      </c>
      <c r="I43" s="158">
        <f>SUM(I44:I47)</f>
        <v>0</v>
      </c>
      <c r="J43" s="158">
        <f>SUM(J44:J47)</f>
        <v>0</v>
      </c>
      <c r="K43" s="158">
        <f>SUM(K44:K47)</f>
        <v>0</v>
      </c>
      <c r="L43" s="159"/>
      <c r="AI43" s="136" t="s">
        <v>144</v>
      </c>
      <c r="AS43" s="137">
        <f>SUM(AJ44:AJ47)</f>
        <v>0</v>
      </c>
      <c r="AT43" s="137">
        <f>SUM(AK44:AK47)</f>
        <v>0</v>
      </c>
      <c r="AU43" s="137">
        <f>SUM(AL44:AL47)</f>
        <v>0</v>
      </c>
    </row>
    <row r="44" spans="1:62" ht="15">
      <c r="A44" s="138" t="s">
        <v>183</v>
      </c>
      <c r="B44" s="138" t="s">
        <v>318</v>
      </c>
      <c r="C44" s="920" t="s">
        <v>319</v>
      </c>
      <c r="D44" s="911"/>
      <c r="E44" s="911"/>
      <c r="F44" s="138" t="s">
        <v>109</v>
      </c>
      <c r="G44" s="139">
        <v>3685.5</v>
      </c>
      <c r="H44" s="577">
        <v>0</v>
      </c>
      <c r="I44" s="139">
        <f>G44*AO44</f>
        <v>0</v>
      </c>
      <c r="J44" s="139">
        <f>G44*AP44</f>
        <v>0</v>
      </c>
      <c r="K44" s="139">
        <f>G44*H44</f>
        <v>0</v>
      </c>
      <c r="L44" s="140" t="s">
        <v>110</v>
      </c>
      <c r="Z44" s="139">
        <f>IF(AQ44="5",BJ44,0)</f>
        <v>0</v>
      </c>
      <c r="AB44" s="139">
        <f>IF(AQ44="1",BH44,0)</f>
        <v>0</v>
      </c>
      <c r="AC44" s="139">
        <f>IF(AQ44="1",BI44,0)</f>
        <v>0</v>
      </c>
      <c r="AD44" s="139">
        <f>IF(AQ44="7",BH44,0)</f>
        <v>0</v>
      </c>
      <c r="AE44" s="139">
        <f>IF(AQ44="7",BI44,0)</f>
        <v>0</v>
      </c>
      <c r="AF44" s="139">
        <f>IF(AQ44="2",BH44,0)</f>
        <v>0</v>
      </c>
      <c r="AG44" s="139">
        <f>IF(AQ44="2",BI44,0)</f>
        <v>0</v>
      </c>
      <c r="AH44" s="139">
        <f>IF(AQ44="0",BJ44,0)</f>
        <v>0</v>
      </c>
      <c r="AI44" s="136" t="s">
        <v>144</v>
      </c>
      <c r="AJ44" s="139">
        <f>IF(AN44=0,K44,0)</f>
        <v>0</v>
      </c>
      <c r="AK44" s="139">
        <f>IF(AN44=15,K44,0)</f>
        <v>0</v>
      </c>
      <c r="AL44" s="139">
        <f>IF(AN44=21,K44,0)</f>
        <v>0</v>
      </c>
      <c r="AN44" s="139">
        <v>21</v>
      </c>
      <c r="AO44" s="139">
        <f>H44*0</f>
        <v>0</v>
      </c>
      <c r="AP44" s="139">
        <f>H44*(1-0)</f>
        <v>0</v>
      </c>
      <c r="AQ44" s="140" t="s">
        <v>106</v>
      </c>
      <c r="AV44" s="139">
        <f>AW44+AX44</f>
        <v>0</v>
      </c>
      <c r="AW44" s="139">
        <f>G44*AO44</f>
        <v>0</v>
      </c>
      <c r="AX44" s="139">
        <f>G44*AP44</f>
        <v>0</v>
      </c>
      <c r="AY44" s="140" t="s">
        <v>283</v>
      </c>
      <c r="AZ44" s="140" t="s">
        <v>148</v>
      </c>
      <c r="BA44" s="136" t="s">
        <v>149</v>
      </c>
      <c r="BC44" s="139">
        <f>AW44+AX44</f>
        <v>0</v>
      </c>
      <c r="BD44" s="139">
        <f>H44/(100-BE44)*100</f>
        <v>0</v>
      </c>
      <c r="BE44" s="139">
        <v>0</v>
      </c>
      <c r="BF44" s="139">
        <f>44</f>
        <v>44</v>
      </c>
      <c r="BH44" s="139">
        <f>G44*AO44</f>
        <v>0</v>
      </c>
      <c r="BI44" s="139">
        <f>G44*AP44</f>
        <v>0</v>
      </c>
      <c r="BJ44" s="139">
        <f>G44*H44</f>
        <v>0</v>
      </c>
    </row>
    <row r="45" spans="2:12" ht="12.75" customHeight="1">
      <c r="B45" s="141" t="s">
        <v>67</v>
      </c>
      <c r="C45" s="939" t="s">
        <v>1982</v>
      </c>
      <c r="D45" s="940"/>
      <c r="E45" s="940"/>
      <c r="F45" s="940"/>
      <c r="G45" s="940"/>
      <c r="H45" s="940"/>
      <c r="I45" s="940"/>
      <c r="J45" s="940"/>
      <c r="K45" s="940"/>
      <c r="L45" s="940"/>
    </row>
    <row r="46" spans="1:62" ht="15">
      <c r="A46" s="138" t="s">
        <v>188</v>
      </c>
      <c r="B46" s="138" t="s">
        <v>322</v>
      </c>
      <c r="C46" s="920" t="s">
        <v>1983</v>
      </c>
      <c r="D46" s="911"/>
      <c r="E46" s="911"/>
      <c r="F46" s="138" t="s">
        <v>253</v>
      </c>
      <c r="G46" s="139">
        <v>111.3</v>
      </c>
      <c r="H46" s="577">
        <v>0</v>
      </c>
      <c r="I46" s="139">
        <f>G46*AO46</f>
        <v>0</v>
      </c>
      <c r="J46" s="139">
        <f>G46*AP46</f>
        <v>0</v>
      </c>
      <c r="K46" s="139">
        <f>G46*H46</f>
        <v>0</v>
      </c>
      <c r="L46" s="140" t="s">
        <v>110</v>
      </c>
      <c r="Z46" s="139">
        <f>IF(AQ46="5",BJ46,0)</f>
        <v>0</v>
      </c>
      <c r="AB46" s="139">
        <f>IF(AQ46="1",BH46,0)</f>
        <v>0</v>
      </c>
      <c r="AC46" s="139">
        <f>IF(AQ46="1",BI46,0)</f>
        <v>0</v>
      </c>
      <c r="AD46" s="139">
        <f>IF(AQ46="7",BH46,0)</f>
        <v>0</v>
      </c>
      <c r="AE46" s="139">
        <f>IF(AQ46="7",BI46,0)</f>
        <v>0</v>
      </c>
      <c r="AF46" s="139">
        <f>IF(AQ46="2",BH46,0)</f>
        <v>0</v>
      </c>
      <c r="AG46" s="139">
        <f>IF(AQ46="2",BI46,0)</f>
        <v>0</v>
      </c>
      <c r="AH46" s="139">
        <f>IF(AQ46="0",BJ46,0)</f>
        <v>0</v>
      </c>
      <c r="AI46" s="136" t="s">
        <v>144</v>
      </c>
      <c r="AJ46" s="139">
        <f>IF(AN46=0,K46,0)</f>
        <v>0</v>
      </c>
      <c r="AK46" s="139">
        <f>IF(AN46=15,K46,0)</f>
        <v>0</v>
      </c>
      <c r="AL46" s="139">
        <f>IF(AN46=21,K46,0)</f>
        <v>0</v>
      </c>
      <c r="AN46" s="139">
        <v>21</v>
      </c>
      <c r="AO46" s="139">
        <f>H46*0</f>
        <v>0</v>
      </c>
      <c r="AP46" s="139">
        <f>H46*(1-0)</f>
        <v>0</v>
      </c>
      <c r="AQ46" s="140" t="s">
        <v>106</v>
      </c>
      <c r="AV46" s="139">
        <f>AW46+AX46</f>
        <v>0</v>
      </c>
      <c r="AW46" s="139">
        <f>G46*AO46</f>
        <v>0</v>
      </c>
      <c r="AX46" s="139">
        <f>G46*AP46</f>
        <v>0</v>
      </c>
      <c r="AY46" s="140" t="s">
        <v>283</v>
      </c>
      <c r="AZ46" s="140" t="s">
        <v>148</v>
      </c>
      <c r="BA46" s="136" t="s">
        <v>149</v>
      </c>
      <c r="BC46" s="139">
        <f>AW46+AX46</f>
        <v>0</v>
      </c>
      <c r="BD46" s="139">
        <f>H46/(100-BE46)*100</f>
        <v>0</v>
      </c>
      <c r="BE46" s="139">
        <v>0</v>
      </c>
      <c r="BF46" s="139">
        <f>46</f>
        <v>46</v>
      </c>
      <c r="BH46" s="139">
        <f>G46*AO46</f>
        <v>0</v>
      </c>
      <c r="BI46" s="139">
        <f>G46*AP46</f>
        <v>0</v>
      </c>
      <c r="BJ46" s="139">
        <f>G46*H46</f>
        <v>0</v>
      </c>
    </row>
    <row r="47" spans="1:62" ht="15">
      <c r="A47" s="138" t="s">
        <v>190</v>
      </c>
      <c r="B47" s="138" t="s">
        <v>325</v>
      </c>
      <c r="C47" s="920" t="s">
        <v>326</v>
      </c>
      <c r="D47" s="911"/>
      <c r="E47" s="911"/>
      <c r="F47" s="138" t="s">
        <v>253</v>
      </c>
      <c r="G47" s="139">
        <v>111.3</v>
      </c>
      <c r="H47" s="577">
        <v>0</v>
      </c>
      <c r="I47" s="139">
        <f>G47*AO47</f>
        <v>0</v>
      </c>
      <c r="J47" s="139">
        <f>G47*AP47</f>
        <v>0</v>
      </c>
      <c r="K47" s="139">
        <f>G47*H47</f>
        <v>0</v>
      </c>
      <c r="L47" s="140" t="s">
        <v>110</v>
      </c>
      <c r="Z47" s="139">
        <f>IF(AQ47="5",BJ47,0)</f>
        <v>0</v>
      </c>
      <c r="AB47" s="139">
        <f>IF(AQ47="1",BH47,0)</f>
        <v>0</v>
      </c>
      <c r="AC47" s="139">
        <f>IF(AQ47="1",BI47,0)</f>
        <v>0</v>
      </c>
      <c r="AD47" s="139">
        <f>IF(AQ47="7",BH47,0)</f>
        <v>0</v>
      </c>
      <c r="AE47" s="139">
        <f>IF(AQ47="7",BI47,0)</f>
        <v>0</v>
      </c>
      <c r="AF47" s="139">
        <f>IF(AQ47="2",BH47,0)</f>
        <v>0</v>
      </c>
      <c r="AG47" s="139">
        <f>IF(AQ47="2",BI47,0)</f>
        <v>0</v>
      </c>
      <c r="AH47" s="139">
        <f>IF(AQ47="0",BJ47,0)</f>
        <v>0</v>
      </c>
      <c r="AI47" s="136" t="s">
        <v>144</v>
      </c>
      <c r="AJ47" s="139">
        <f>IF(AN47=0,K47,0)</f>
        <v>0</v>
      </c>
      <c r="AK47" s="139">
        <f>IF(AN47=15,K47,0)</f>
        <v>0</v>
      </c>
      <c r="AL47" s="139">
        <f>IF(AN47=21,K47,0)</f>
        <v>0</v>
      </c>
      <c r="AN47" s="139">
        <v>21</v>
      </c>
      <c r="AO47" s="139">
        <f>H47*0</f>
        <v>0</v>
      </c>
      <c r="AP47" s="139">
        <f>H47*(1-0)</f>
        <v>0</v>
      </c>
      <c r="AQ47" s="140" t="s">
        <v>106</v>
      </c>
      <c r="AV47" s="139">
        <f>AW47+AX47</f>
        <v>0</v>
      </c>
      <c r="AW47" s="139">
        <f>G47*AO47</f>
        <v>0</v>
      </c>
      <c r="AX47" s="139">
        <f>G47*AP47</f>
        <v>0</v>
      </c>
      <c r="AY47" s="140" t="s">
        <v>283</v>
      </c>
      <c r="AZ47" s="140" t="s">
        <v>148</v>
      </c>
      <c r="BA47" s="136" t="s">
        <v>149</v>
      </c>
      <c r="BC47" s="139">
        <f>AW47+AX47</f>
        <v>0</v>
      </c>
      <c r="BD47" s="139">
        <f>H47/(100-BE47)*100</f>
        <v>0</v>
      </c>
      <c r="BE47" s="139">
        <v>0</v>
      </c>
      <c r="BF47" s="139">
        <f>47</f>
        <v>47</v>
      </c>
      <c r="BH47" s="139">
        <f>G47*AO47</f>
        <v>0</v>
      </c>
      <c r="BI47" s="139">
        <f>G47*AP47</f>
        <v>0</v>
      </c>
      <c r="BJ47" s="139">
        <f>G47*H47</f>
        <v>0</v>
      </c>
    </row>
    <row r="48" spans="1:47" ht="15">
      <c r="A48" s="156"/>
      <c r="B48" s="157" t="s">
        <v>314</v>
      </c>
      <c r="C48" s="932" t="s">
        <v>327</v>
      </c>
      <c r="D48" s="933"/>
      <c r="E48" s="933"/>
      <c r="F48" s="156" t="s">
        <v>70</v>
      </c>
      <c r="G48" s="156" t="s">
        <v>70</v>
      </c>
      <c r="H48" s="156" t="s">
        <v>70</v>
      </c>
      <c r="I48" s="158">
        <f>SUM(I49:I54)</f>
        <v>0</v>
      </c>
      <c r="J48" s="158">
        <f>SUM(J49:J54)</f>
        <v>0</v>
      </c>
      <c r="K48" s="158">
        <f>SUM(K49:K54)</f>
        <v>0</v>
      </c>
      <c r="L48" s="159"/>
      <c r="AI48" s="136" t="s">
        <v>144</v>
      </c>
      <c r="AS48" s="137">
        <f>SUM(AJ49:AJ54)</f>
        <v>0</v>
      </c>
      <c r="AT48" s="137">
        <f>SUM(AK49:AK54)</f>
        <v>0</v>
      </c>
      <c r="AU48" s="137">
        <f>SUM(AL49:AL54)</f>
        <v>0</v>
      </c>
    </row>
    <row r="49" spans="1:62" ht="15">
      <c r="A49" s="142" t="s">
        <v>193</v>
      </c>
      <c r="B49" s="142" t="s">
        <v>329</v>
      </c>
      <c r="C49" s="941" t="s">
        <v>330</v>
      </c>
      <c r="D49" s="911"/>
      <c r="E49" s="942"/>
      <c r="F49" s="142" t="s">
        <v>253</v>
      </c>
      <c r="G49" s="143">
        <v>1908.9</v>
      </c>
      <c r="H49" s="578">
        <v>0</v>
      </c>
      <c r="I49" s="143">
        <f>G49*AO49</f>
        <v>0</v>
      </c>
      <c r="J49" s="143">
        <f>G49*AP49</f>
        <v>0</v>
      </c>
      <c r="K49" s="143">
        <f>G49*H49</f>
        <v>0</v>
      </c>
      <c r="L49" s="144" t="s">
        <v>110</v>
      </c>
      <c r="Z49" s="139">
        <f>IF(AQ49="5",BJ49,0)</f>
        <v>0</v>
      </c>
      <c r="AB49" s="139">
        <f>IF(AQ49="1",BH49,0)</f>
        <v>0</v>
      </c>
      <c r="AC49" s="139">
        <f>IF(AQ49="1",BI49,0)</f>
        <v>0</v>
      </c>
      <c r="AD49" s="139">
        <f>IF(AQ49="7",BH49,0)</f>
        <v>0</v>
      </c>
      <c r="AE49" s="139">
        <f>IF(AQ49="7",BI49,0)</f>
        <v>0</v>
      </c>
      <c r="AF49" s="139">
        <f>IF(AQ49="2",BH49,0)</f>
        <v>0</v>
      </c>
      <c r="AG49" s="139">
        <f>IF(AQ49="2",BI49,0)</f>
        <v>0</v>
      </c>
      <c r="AH49" s="139">
        <f>IF(AQ49="0",BJ49,0)</f>
        <v>0</v>
      </c>
      <c r="AI49" s="136" t="s">
        <v>144</v>
      </c>
      <c r="AJ49" s="139">
        <f>IF(AN49=0,K49,0)</f>
        <v>0</v>
      </c>
      <c r="AK49" s="139">
        <f>IF(AN49=15,K49,0)</f>
        <v>0</v>
      </c>
      <c r="AL49" s="139">
        <f>IF(AN49=21,K49,0)</f>
        <v>0</v>
      </c>
      <c r="AN49" s="139">
        <v>21</v>
      </c>
      <c r="AO49" s="139">
        <f>H49*0</f>
        <v>0</v>
      </c>
      <c r="AP49" s="139">
        <f>H49*(1-0)</f>
        <v>0</v>
      </c>
      <c r="AQ49" s="140" t="s">
        <v>106</v>
      </c>
      <c r="AV49" s="139">
        <f>AW49+AX49</f>
        <v>0</v>
      </c>
      <c r="AW49" s="139">
        <f>G49*AO49</f>
        <v>0</v>
      </c>
      <c r="AX49" s="139">
        <f>G49*AP49</f>
        <v>0</v>
      </c>
      <c r="AY49" s="140" t="s">
        <v>331</v>
      </c>
      <c r="AZ49" s="140" t="s">
        <v>998</v>
      </c>
      <c r="BA49" s="136" t="s">
        <v>149</v>
      </c>
      <c r="BC49" s="139">
        <f>AW49+AX49</f>
        <v>0</v>
      </c>
      <c r="BD49" s="139">
        <f>H49/(100-BE49)*100</f>
        <v>0</v>
      </c>
      <c r="BE49" s="139">
        <v>0</v>
      </c>
      <c r="BF49" s="139">
        <f>49</f>
        <v>49</v>
      </c>
      <c r="BH49" s="139">
        <f>G49*AO49</f>
        <v>0</v>
      </c>
      <c r="BI49" s="139">
        <f>G49*AP49</f>
        <v>0</v>
      </c>
      <c r="BJ49" s="139">
        <f>G49*H49</f>
        <v>0</v>
      </c>
    </row>
    <row r="50" spans="2:12" ht="38.7" customHeight="1">
      <c r="B50" s="141" t="s">
        <v>67</v>
      </c>
      <c r="C50" s="939" t="s">
        <v>1984</v>
      </c>
      <c r="D50" s="940"/>
      <c r="E50" s="940"/>
      <c r="F50" s="940"/>
      <c r="G50" s="940"/>
      <c r="H50" s="940"/>
      <c r="I50" s="940"/>
      <c r="J50" s="940"/>
      <c r="K50" s="940"/>
      <c r="L50" s="940"/>
    </row>
    <row r="51" spans="1:62" ht="15">
      <c r="A51" s="138" t="s">
        <v>198</v>
      </c>
      <c r="B51" s="138" t="s">
        <v>335</v>
      </c>
      <c r="C51" s="920" t="s">
        <v>1063</v>
      </c>
      <c r="D51" s="911"/>
      <c r="E51" s="911"/>
      <c r="F51" s="138" t="s">
        <v>337</v>
      </c>
      <c r="G51" s="139">
        <v>44460</v>
      </c>
      <c r="H51" s="577">
        <v>0</v>
      </c>
      <c r="I51" s="139">
        <f>G51*AO51</f>
        <v>0</v>
      </c>
      <c r="J51" s="139">
        <f>G51*AP51</f>
        <v>0</v>
      </c>
      <c r="K51" s="139">
        <f>G51*H51</f>
        <v>0</v>
      </c>
      <c r="L51" s="140"/>
      <c r="Z51" s="139">
        <f>IF(AQ51="5",BJ51,0)</f>
        <v>0</v>
      </c>
      <c r="AB51" s="139">
        <f>IF(AQ51="1",BH51,0)</f>
        <v>0</v>
      </c>
      <c r="AC51" s="139">
        <f>IF(AQ51="1",BI51,0)</f>
        <v>0</v>
      </c>
      <c r="AD51" s="139">
        <f>IF(AQ51="7",BH51,0)</f>
        <v>0</v>
      </c>
      <c r="AE51" s="139">
        <f>IF(AQ51="7",BI51,0)</f>
        <v>0</v>
      </c>
      <c r="AF51" s="139">
        <f>IF(AQ51="2",BH51,0)</f>
        <v>0</v>
      </c>
      <c r="AG51" s="139">
        <f>IF(AQ51="2",BI51,0)</f>
        <v>0</v>
      </c>
      <c r="AH51" s="139">
        <f>IF(AQ51="0",BJ51,0)</f>
        <v>0</v>
      </c>
      <c r="AI51" s="136" t="s">
        <v>144</v>
      </c>
      <c r="AJ51" s="139">
        <f>IF(AN51=0,K51,0)</f>
        <v>0</v>
      </c>
      <c r="AK51" s="139">
        <f>IF(AN51=15,K51,0)</f>
        <v>0</v>
      </c>
      <c r="AL51" s="139">
        <f>IF(AN51=21,K51,0)</f>
        <v>0</v>
      </c>
      <c r="AN51" s="139">
        <v>21</v>
      </c>
      <c r="AO51" s="139">
        <f>H51*0</f>
        <v>0</v>
      </c>
      <c r="AP51" s="139">
        <f>H51*(1-0)</f>
        <v>0</v>
      </c>
      <c r="AQ51" s="140" t="s">
        <v>124</v>
      </c>
      <c r="AV51" s="139">
        <f>AW51+AX51</f>
        <v>0</v>
      </c>
      <c r="AW51" s="139">
        <f>G51*AO51</f>
        <v>0</v>
      </c>
      <c r="AX51" s="139">
        <f>G51*AP51</f>
        <v>0</v>
      </c>
      <c r="AY51" s="140" t="s">
        <v>331</v>
      </c>
      <c r="AZ51" s="140" t="s">
        <v>998</v>
      </c>
      <c r="BA51" s="136" t="s">
        <v>149</v>
      </c>
      <c r="BC51" s="139">
        <f>AW51+AX51</f>
        <v>0</v>
      </c>
      <c r="BD51" s="139">
        <f>H51/(100-BE51)*100</f>
        <v>0</v>
      </c>
      <c r="BE51" s="139">
        <v>0</v>
      </c>
      <c r="BF51" s="139">
        <f>51</f>
        <v>51</v>
      </c>
      <c r="BH51" s="139">
        <f>G51*AO51</f>
        <v>0</v>
      </c>
      <c r="BI51" s="139">
        <f>G51*AP51</f>
        <v>0</v>
      </c>
      <c r="BJ51" s="139">
        <f>G51*H51</f>
        <v>0</v>
      </c>
    </row>
    <row r="52" spans="2:12" ht="38.7" customHeight="1">
      <c r="B52" s="141" t="s">
        <v>67</v>
      </c>
      <c r="C52" s="939" t="s">
        <v>1985</v>
      </c>
      <c r="D52" s="940"/>
      <c r="E52" s="940"/>
      <c r="F52" s="940"/>
      <c r="G52" s="940"/>
      <c r="H52" s="940"/>
      <c r="I52" s="940"/>
      <c r="J52" s="940"/>
      <c r="K52" s="940"/>
      <c r="L52" s="940"/>
    </row>
    <row r="53" spans="1:62" ht="15">
      <c r="A53" s="138" t="s">
        <v>200</v>
      </c>
      <c r="B53" s="138" t="s">
        <v>340</v>
      </c>
      <c r="C53" s="920" t="s">
        <v>341</v>
      </c>
      <c r="D53" s="911"/>
      <c r="E53" s="911"/>
      <c r="F53" s="138" t="s">
        <v>109</v>
      </c>
      <c r="G53" s="139">
        <v>3539.9</v>
      </c>
      <c r="H53" s="577">
        <v>0</v>
      </c>
      <c r="I53" s="139">
        <f>G53*AO53</f>
        <v>0</v>
      </c>
      <c r="J53" s="139">
        <f>G53*AP53</f>
        <v>0</v>
      </c>
      <c r="K53" s="139">
        <f>G53*H53</f>
        <v>0</v>
      </c>
      <c r="L53" s="140" t="s">
        <v>110</v>
      </c>
      <c r="Z53" s="139">
        <f>IF(AQ53="5",BJ53,0)</f>
        <v>0</v>
      </c>
      <c r="AB53" s="139">
        <f>IF(AQ53="1",BH53,0)</f>
        <v>0</v>
      </c>
      <c r="AC53" s="139">
        <f>IF(AQ53="1",BI53,0)</f>
        <v>0</v>
      </c>
      <c r="AD53" s="139">
        <f>IF(AQ53="7",BH53,0)</f>
        <v>0</v>
      </c>
      <c r="AE53" s="139">
        <f>IF(AQ53="7",BI53,0)</f>
        <v>0</v>
      </c>
      <c r="AF53" s="139">
        <f>IF(AQ53="2",BH53,0)</f>
        <v>0</v>
      </c>
      <c r="AG53" s="139">
        <f>IF(AQ53="2",BI53,0)</f>
        <v>0</v>
      </c>
      <c r="AH53" s="139">
        <f>IF(AQ53="0",BJ53,0)</f>
        <v>0</v>
      </c>
      <c r="AI53" s="136" t="s">
        <v>144</v>
      </c>
      <c r="AJ53" s="139">
        <f>IF(AN53=0,K53,0)</f>
        <v>0</v>
      </c>
      <c r="AK53" s="139">
        <f>IF(AN53=15,K53,0)</f>
        <v>0</v>
      </c>
      <c r="AL53" s="139">
        <f>IF(AN53=21,K53,0)</f>
        <v>0</v>
      </c>
      <c r="AN53" s="139">
        <v>21</v>
      </c>
      <c r="AO53" s="139">
        <f>H53*0.0709373383267766</f>
        <v>0</v>
      </c>
      <c r="AP53" s="139">
        <f>H53*(1-0.0709373383267766)</f>
        <v>0</v>
      </c>
      <c r="AQ53" s="140" t="s">
        <v>106</v>
      </c>
      <c r="AV53" s="139">
        <f>AW53+AX53</f>
        <v>0</v>
      </c>
      <c r="AW53" s="139">
        <f>G53*AO53</f>
        <v>0</v>
      </c>
      <c r="AX53" s="139">
        <f>G53*AP53</f>
        <v>0</v>
      </c>
      <c r="AY53" s="140" t="s">
        <v>331</v>
      </c>
      <c r="AZ53" s="140" t="s">
        <v>998</v>
      </c>
      <c r="BA53" s="136" t="s">
        <v>149</v>
      </c>
      <c r="BC53" s="139">
        <f>AW53+AX53</f>
        <v>0</v>
      </c>
      <c r="BD53" s="139">
        <f>H53/(100-BE53)*100</f>
        <v>0</v>
      </c>
      <c r="BE53" s="139">
        <v>0</v>
      </c>
      <c r="BF53" s="139">
        <f>53</f>
        <v>53</v>
      </c>
      <c r="BH53" s="139">
        <f>G53*AO53</f>
        <v>0</v>
      </c>
      <c r="BI53" s="139">
        <f>G53*AP53</f>
        <v>0</v>
      </c>
      <c r="BJ53" s="139">
        <f>G53*H53</f>
        <v>0</v>
      </c>
    </row>
    <row r="54" spans="1:62" ht="15">
      <c r="A54" s="142" t="s">
        <v>203</v>
      </c>
      <c r="B54" s="142" t="s">
        <v>343</v>
      </c>
      <c r="C54" s="941" t="s">
        <v>344</v>
      </c>
      <c r="D54" s="911"/>
      <c r="E54" s="942"/>
      <c r="F54" s="142" t="s">
        <v>209</v>
      </c>
      <c r="G54" s="143">
        <v>1456</v>
      </c>
      <c r="H54" s="578">
        <v>0</v>
      </c>
      <c r="I54" s="143">
        <f>G54*AO54</f>
        <v>0</v>
      </c>
      <c r="J54" s="143">
        <f>G54*AP54</f>
        <v>0</v>
      </c>
      <c r="K54" s="143">
        <f>G54*H54</f>
        <v>0</v>
      </c>
      <c r="L54" s="144" t="s">
        <v>110</v>
      </c>
      <c r="Z54" s="139">
        <f>IF(AQ54="5",BJ54,0)</f>
        <v>0</v>
      </c>
      <c r="AB54" s="139">
        <f>IF(AQ54="1",BH54,0)</f>
        <v>0</v>
      </c>
      <c r="AC54" s="139">
        <f>IF(AQ54="1",BI54,0)</f>
        <v>0</v>
      </c>
      <c r="AD54" s="139">
        <f>IF(AQ54="7",BH54,0)</f>
        <v>0</v>
      </c>
      <c r="AE54" s="139">
        <f>IF(AQ54="7",BI54,0)</f>
        <v>0</v>
      </c>
      <c r="AF54" s="139">
        <f>IF(AQ54="2",BH54,0)</f>
        <v>0</v>
      </c>
      <c r="AG54" s="139">
        <f>IF(AQ54="2",BI54,0)</f>
        <v>0</v>
      </c>
      <c r="AH54" s="139">
        <f>IF(AQ54="0",BJ54,0)</f>
        <v>0</v>
      </c>
      <c r="AI54" s="136" t="s">
        <v>144</v>
      </c>
      <c r="AJ54" s="139">
        <f>IF(AN54=0,K54,0)</f>
        <v>0</v>
      </c>
      <c r="AK54" s="139">
        <f>IF(AN54=15,K54,0)</f>
        <v>0</v>
      </c>
      <c r="AL54" s="139">
        <f>IF(AN54=21,K54,0)</f>
        <v>0</v>
      </c>
      <c r="AN54" s="139">
        <v>21</v>
      </c>
      <c r="AO54" s="139">
        <f>H54*0.486627393225331</f>
        <v>0</v>
      </c>
      <c r="AP54" s="139">
        <f>H54*(1-0.486627393225331)</f>
        <v>0</v>
      </c>
      <c r="AQ54" s="140" t="s">
        <v>106</v>
      </c>
      <c r="AV54" s="139">
        <f>AW54+AX54</f>
        <v>0</v>
      </c>
      <c r="AW54" s="139">
        <f>G54*AO54</f>
        <v>0</v>
      </c>
      <c r="AX54" s="139">
        <f>G54*AP54</f>
        <v>0</v>
      </c>
      <c r="AY54" s="140" t="s">
        <v>331</v>
      </c>
      <c r="AZ54" s="140" t="s">
        <v>998</v>
      </c>
      <c r="BA54" s="136" t="s">
        <v>149</v>
      </c>
      <c r="BC54" s="139">
        <f>AW54+AX54</f>
        <v>0</v>
      </c>
      <c r="BD54" s="139">
        <f>H54/(100-BE54)*100</f>
        <v>0</v>
      </c>
      <c r="BE54" s="139">
        <v>0</v>
      </c>
      <c r="BF54" s="139">
        <f>54</f>
        <v>54</v>
      </c>
      <c r="BH54" s="139">
        <f>G54*AO54</f>
        <v>0</v>
      </c>
      <c r="BI54" s="139">
        <f>G54*AP54</f>
        <v>0</v>
      </c>
      <c r="BJ54" s="139">
        <f>G54*H54</f>
        <v>0</v>
      </c>
    </row>
    <row r="55" spans="1:47" ht="15">
      <c r="A55" s="156"/>
      <c r="B55" s="157" t="s">
        <v>345</v>
      </c>
      <c r="C55" s="932" t="s">
        <v>346</v>
      </c>
      <c r="D55" s="933"/>
      <c r="E55" s="933"/>
      <c r="F55" s="156" t="s">
        <v>70</v>
      </c>
      <c r="G55" s="156" t="s">
        <v>70</v>
      </c>
      <c r="H55" s="156" t="s">
        <v>70</v>
      </c>
      <c r="I55" s="158">
        <f>SUM(I56:I56)</f>
        <v>0</v>
      </c>
      <c r="J55" s="158">
        <f>SUM(J56:J56)</f>
        <v>0</v>
      </c>
      <c r="K55" s="158">
        <f>SUM(K56:K56)</f>
        <v>0</v>
      </c>
      <c r="L55" s="159"/>
      <c r="AI55" s="136" t="s">
        <v>144</v>
      </c>
      <c r="AS55" s="137">
        <f>SUM(AJ56:AJ56)</f>
        <v>0</v>
      </c>
      <c r="AT55" s="137">
        <f>SUM(AK56:AK56)</f>
        <v>0</v>
      </c>
      <c r="AU55" s="137">
        <f>SUM(AL56:AL56)</f>
        <v>0</v>
      </c>
    </row>
    <row r="56" spans="1:62" ht="15">
      <c r="A56" s="138" t="s">
        <v>206</v>
      </c>
      <c r="B56" s="138" t="s">
        <v>348</v>
      </c>
      <c r="C56" s="920" t="s">
        <v>349</v>
      </c>
      <c r="D56" s="911"/>
      <c r="E56" s="911"/>
      <c r="F56" s="138" t="s">
        <v>132</v>
      </c>
      <c r="G56" s="139">
        <v>5618.8</v>
      </c>
      <c r="H56" s="577">
        <v>0</v>
      </c>
      <c r="I56" s="139">
        <f>G56*AO56</f>
        <v>0</v>
      </c>
      <c r="J56" s="139">
        <f>G56*AP56</f>
        <v>0</v>
      </c>
      <c r="K56" s="139">
        <f>G56*H56</f>
        <v>0</v>
      </c>
      <c r="L56" s="140" t="s">
        <v>110</v>
      </c>
      <c r="Z56" s="139">
        <f>IF(AQ56="5",BJ56,0)</f>
        <v>0</v>
      </c>
      <c r="AB56" s="139">
        <f>IF(AQ56="1",BH56,0)</f>
        <v>0</v>
      </c>
      <c r="AC56" s="139">
        <f>IF(AQ56="1",BI56,0)</f>
        <v>0</v>
      </c>
      <c r="AD56" s="139">
        <f>IF(AQ56="7",BH56,0)</f>
        <v>0</v>
      </c>
      <c r="AE56" s="139">
        <f>IF(AQ56="7",BI56,0)</f>
        <v>0</v>
      </c>
      <c r="AF56" s="139">
        <f>IF(AQ56="2",BH56,0)</f>
        <v>0</v>
      </c>
      <c r="AG56" s="139">
        <f>IF(AQ56="2",BI56,0)</f>
        <v>0</v>
      </c>
      <c r="AH56" s="139">
        <f>IF(AQ56="0",BJ56,0)</f>
        <v>0</v>
      </c>
      <c r="AI56" s="136" t="s">
        <v>144</v>
      </c>
      <c r="AJ56" s="139">
        <f>IF(AN56=0,K56,0)</f>
        <v>0</v>
      </c>
      <c r="AK56" s="139">
        <f>IF(AN56=15,K56,0)</f>
        <v>0</v>
      </c>
      <c r="AL56" s="139">
        <f>IF(AN56=21,K56,0)</f>
        <v>0</v>
      </c>
      <c r="AN56" s="139">
        <v>21</v>
      </c>
      <c r="AO56" s="139">
        <f>H56*0</f>
        <v>0</v>
      </c>
      <c r="AP56" s="139">
        <f>H56*(1-0)</f>
        <v>0</v>
      </c>
      <c r="AQ56" s="140" t="s">
        <v>124</v>
      </c>
      <c r="AV56" s="139">
        <f>AW56+AX56</f>
        <v>0</v>
      </c>
      <c r="AW56" s="139">
        <f>G56*AO56</f>
        <v>0</v>
      </c>
      <c r="AX56" s="139">
        <f>G56*AP56</f>
        <v>0</v>
      </c>
      <c r="AY56" s="140" t="s">
        <v>350</v>
      </c>
      <c r="AZ56" s="140" t="s">
        <v>153</v>
      </c>
      <c r="BA56" s="136" t="s">
        <v>149</v>
      </c>
      <c r="BC56" s="139">
        <f>AW56+AX56</f>
        <v>0</v>
      </c>
      <c r="BD56" s="139">
        <f>H56/(100-BE56)*100</f>
        <v>0</v>
      </c>
      <c r="BE56" s="139">
        <v>0</v>
      </c>
      <c r="BF56" s="139">
        <f>56</f>
        <v>56</v>
      </c>
      <c r="BH56" s="139">
        <f>G56*AO56</f>
        <v>0</v>
      </c>
      <c r="BI56" s="139">
        <f>G56*AP56</f>
        <v>0</v>
      </c>
      <c r="BJ56" s="139">
        <f>G56*H56</f>
        <v>0</v>
      </c>
    </row>
    <row r="57" spans="1:47" ht="15">
      <c r="A57" s="156"/>
      <c r="B57" s="157"/>
      <c r="C57" s="932" t="s">
        <v>52</v>
      </c>
      <c r="D57" s="933"/>
      <c r="E57" s="933"/>
      <c r="F57" s="156" t="s">
        <v>70</v>
      </c>
      <c r="G57" s="156" t="s">
        <v>70</v>
      </c>
      <c r="H57" s="156" t="s">
        <v>70</v>
      </c>
      <c r="I57" s="158">
        <f>SUM(I58:I66)</f>
        <v>0</v>
      </c>
      <c r="J57" s="158">
        <f>SUM(J58:J66)</f>
        <v>0</v>
      </c>
      <c r="K57" s="158">
        <f>SUM(K58:K66)</f>
        <v>0</v>
      </c>
      <c r="L57" s="159"/>
      <c r="AI57" s="136" t="s">
        <v>144</v>
      </c>
      <c r="AS57" s="137">
        <f>SUM(AJ58:AJ66)</f>
        <v>0</v>
      </c>
      <c r="AT57" s="137">
        <f>SUM(AK58:AK66)</f>
        <v>0</v>
      </c>
      <c r="AU57" s="137">
        <f>SUM(AL58:AL66)</f>
        <v>0</v>
      </c>
    </row>
    <row r="58" spans="1:62" ht="15">
      <c r="A58" s="138" t="s">
        <v>212</v>
      </c>
      <c r="B58" s="138" t="s">
        <v>353</v>
      </c>
      <c r="C58" s="920" t="s">
        <v>1986</v>
      </c>
      <c r="D58" s="911"/>
      <c r="E58" s="911"/>
      <c r="F58" s="138" t="s">
        <v>132</v>
      </c>
      <c r="G58" s="139">
        <v>383.1</v>
      </c>
      <c r="H58" s="577">
        <v>0</v>
      </c>
      <c r="I58" s="139">
        <f>G58*AO58</f>
        <v>0</v>
      </c>
      <c r="J58" s="139">
        <f>G58*AP58</f>
        <v>0</v>
      </c>
      <c r="K58" s="139">
        <f>G58*H58</f>
        <v>0</v>
      </c>
      <c r="L58" s="140" t="s">
        <v>282</v>
      </c>
      <c r="Z58" s="139">
        <f>IF(AQ58="5",BJ58,0)</f>
        <v>0</v>
      </c>
      <c r="AB58" s="139">
        <f>IF(AQ58="1",BH58,0)</f>
        <v>0</v>
      </c>
      <c r="AC58" s="139">
        <f>IF(AQ58="1",BI58,0)</f>
        <v>0</v>
      </c>
      <c r="AD58" s="139">
        <f>IF(AQ58="7",BH58,0)</f>
        <v>0</v>
      </c>
      <c r="AE58" s="139">
        <f>IF(AQ58="7",BI58,0)</f>
        <v>0</v>
      </c>
      <c r="AF58" s="139">
        <f>IF(AQ58="2",BH58,0)</f>
        <v>0</v>
      </c>
      <c r="AG58" s="139">
        <f>IF(AQ58="2",BI58,0)</f>
        <v>0</v>
      </c>
      <c r="AH58" s="139">
        <f>IF(AQ58="0",BJ58,0)</f>
        <v>0</v>
      </c>
      <c r="AI58" s="136" t="s">
        <v>144</v>
      </c>
      <c r="AJ58" s="139">
        <f>IF(AN58=0,K58,0)</f>
        <v>0</v>
      </c>
      <c r="AK58" s="139">
        <f>IF(AN58=15,K58,0)</f>
        <v>0</v>
      </c>
      <c r="AL58" s="139">
        <f>IF(AN58=21,K58,0)</f>
        <v>0</v>
      </c>
      <c r="AN58" s="139">
        <v>21</v>
      </c>
      <c r="AO58" s="139">
        <f>H58*1</f>
        <v>0</v>
      </c>
      <c r="AP58" s="139">
        <f>H58*(1-1)</f>
        <v>0</v>
      </c>
      <c r="AQ58" s="140" t="s">
        <v>355</v>
      </c>
      <c r="AV58" s="139">
        <f>AW58+AX58</f>
        <v>0</v>
      </c>
      <c r="AW58" s="139">
        <f>G58*AO58</f>
        <v>0</v>
      </c>
      <c r="AX58" s="139">
        <f>G58*AP58</f>
        <v>0</v>
      </c>
      <c r="AY58" s="140" t="s">
        <v>356</v>
      </c>
      <c r="AZ58" s="140" t="s">
        <v>1002</v>
      </c>
      <c r="BA58" s="136" t="s">
        <v>149</v>
      </c>
      <c r="BC58" s="139">
        <f>AW58+AX58</f>
        <v>0</v>
      </c>
      <c r="BD58" s="139">
        <f>H58/(100-BE58)*100</f>
        <v>0</v>
      </c>
      <c r="BE58" s="139">
        <v>0</v>
      </c>
      <c r="BF58" s="139">
        <f>58</f>
        <v>58</v>
      </c>
      <c r="BH58" s="139">
        <f>G58*AO58</f>
        <v>0</v>
      </c>
      <c r="BI58" s="139">
        <f>G58*AP58</f>
        <v>0</v>
      </c>
      <c r="BJ58" s="139">
        <f>G58*H58</f>
        <v>0</v>
      </c>
    </row>
    <row r="59" spans="2:12" ht="25.35" customHeight="1">
      <c r="B59" s="141" t="s">
        <v>67</v>
      </c>
      <c r="C59" s="939" t="s">
        <v>1987</v>
      </c>
      <c r="D59" s="940"/>
      <c r="E59" s="940"/>
      <c r="F59" s="940"/>
      <c r="G59" s="940"/>
      <c r="H59" s="940"/>
      <c r="I59" s="940"/>
      <c r="J59" s="940"/>
      <c r="K59" s="940"/>
      <c r="L59" s="940"/>
    </row>
    <row r="60" spans="1:62" ht="15">
      <c r="A60" s="138" t="s">
        <v>215</v>
      </c>
      <c r="B60" s="138" t="s">
        <v>360</v>
      </c>
      <c r="C60" s="920" t="s">
        <v>1988</v>
      </c>
      <c r="D60" s="911"/>
      <c r="E60" s="911"/>
      <c r="F60" s="138" t="s">
        <v>132</v>
      </c>
      <c r="G60" s="139">
        <v>1932.9</v>
      </c>
      <c r="H60" s="577">
        <v>0</v>
      </c>
      <c r="I60" s="139">
        <f>G60*AO60</f>
        <v>0</v>
      </c>
      <c r="J60" s="139">
        <f>G60*AP60</f>
        <v>0</v>
      </c>
      <c r="K60" s="139">
        <f>G60*H60</f>
        <v>0</v>
      </c>
      <c r="L60" s="140" t="s">
        <v>282</v>
      </c>
      <c r="Z60" s="139">
        <f>IF(AQ60="5",BJ60,0)</f>
        <v>0</v>
      </c>
      <c r="AB60" s="139">
        <f>IF(AQ60="1",BH60,0)</f>
        <v>0</v>
      </c>
      <c r="AC60" s="139">
        <f>IF(AQ60="1",BI60,0)</f>
        <v>0</v>
      </c>
      <c r="AD60" s="139">
        <f>IF(AQ60="7",BH60,0)</f>
        <v>0</v>
      </c>
      <c r="AE60" s="139">
        <f>IF(AQ60="7",BI60,0)</f>
        <v>0</v>
      </c>
      <c r="AF60" s="139">
        <f>IF(AQ60="2",BH60,0)</f>
        <v>0</v>
      </c>
      <c r="AG60" s="139">
        <f>IF(AQ60="2",BI60,0)</f>
        <v>0</v>
      </c>
      <c r="AH60" s="139">
        <f>IF(AQ60="0",BJ60,0)</f>
        <v>0</v>
      </c>
      <c r="AI60" s="136" t="s">
        <v>144</v>
      </c>
      <c r="AJ60" s="139">
        <f>IF(AN60=0,K60,0)</f>
        <v>0</v>
      </c>
      <c r="AK60" s="139">
        <f>IF(AN60=15,K60,0)</f>
        <v>0</v>
      </c>
      <c r="AL60" s="139">
        <f>IF(AN60=21,K60,0)</f>
        <v>0</v>
      </c>
      <c r="AN60" s="139">
        <v>21</v>
      </c>
      <c r="AO60" s="139">
        <f>H60*1</f>
        <v>0</v>
      </c>
      <c r="AP60" s="139">
        <f>H60*(1-1)</f>
        <v>0</v>
      </c>
      <c r="AQ60" s="140" t="s">
        <v>355</v>
      </c>
      <c r="AV60" s="139">
        <f>AW60+AX60</f>
        <v>0</v>
      </c>
      <c r="AW60" s="139">
        <f>G60*AO60</f>
        <v>0</v>
      </c>
      <c r="AX60" s="139">
        <f>G60*AP60</f>
        <v>0</v>
      </c>
      <c r="AY60" s="140" t="s">
        <v>356</v>
      </c>
      <c r="AZ60" s="140" t="s">
        <v>1002</v>
      </c>
      <c r="BA60" s="136" t="s">
        <v>149</v>
      </c>
      <c r="BC60" s="139">
        <f>AW60+AX60</f>
        <v>0</v>
      </c>
      <c r="BD60" s="139">
        <f>H60/(100-BE60)*100</f>
        <v>0</v>
      </c>
      <c r="BE60" s="139">
        <v>0</v>
      </c>
      <c r="BF60" s="139">
        <f>60</f>
        <v>60</v>
      </c>
      <c r="BH60" s="139">
        <f>G60*AO60</f>
        <v>0</v>
      </c>
      <c r="BI60" s="139">
        <f>G60*AP60</f>
        <v>0</v>
      </c>
      <c r="BJ60" s="139">
        <f>G60*H60</f>
        <v>0</v>
      </c>
    </row>
    <row r="61" spans="2:12" ht="25.35" customHeight="1">
      <c r="B61" s="141" t="s">
        <v>67</v>
      </c>
      <c r="C61" s="939" t="s">
        <v>1989</v>
      </c>
      <c r="D61" s="940"/>
      <c r="E61" s="940"/>
      <c r="F61" s="940"/>
      <c r="G61" s="940"/>
      <c r="H61" s="940"/>
      <c r="I61" s="940"/>
      <c r="J61" s="940"/>
      <c r="K61" s="940"/>
      <c r="L61" s="940"/>
    </row>
    <row r="62" spans="1:62" ht="15">
      <c r="A62" s="138" t="s">
        <v>218</v>
      </c>
      <c r="B62" s="138" t="s">
        <v>363</v>
      </c>
      <c r="C62" s="920" t="s">
        <v>1990</v>
      </c>
      <c r="D62" s="911"/>
      <c r="E62" s="911"/>
      <c r="F62" s="138" t="s">
        <v>132</v>
      </c>
      <c r="G62" s="139">
        <v>1137.4</v>
      </c>
      <c r="H62" s="577">
        <v>0</v>
      </c>
      <c r="I62" s="139">
        <f>G62*AO62</f>
        <v>0</v>
      </c>
      <c r="J62" s="139">
        <f>G62*AP62</f>
        <v>0</v>
      </c>
      <c r="K62" s="139">
        <f>G62*H62</f>
        <v>0</v>
      </c>
      <c r="L62" s="140" t="s">
        <v>120</v>
      </c>
      <c r="Z62" s="139">
        <f>IF(AQ62="5",BJ62,0)</f>
        <v>0</v>
      </c>
      <c r="AB62" s="139">
        <f>IF(AQ62="1",BH62,0)</f>
        <v>0</v>
      </c>
      <c r="AC62" s="139">
        <f>IF(AQ62="1",BI62,0)</f>
        <v>0</v>
      </c>
      <c r="AD62" s="139">
        <f>IF(AQ62="7",BH62,0)</f>
        <v>0</v>
      </c>
      <c r="AE62" s="139">
        <f>IF(AQ62="7",BI62,0)</f>
        <v>0</v>
      </c>
      <c r="AF62" s="139">
        <f>IF(AQ62="2",BH62,0)</f>
        <v>0</v>
      </c>
      <c r="AG62" s="139">
        <f>IF(AQ62="2",BI62,0)</f>
        <v>0</v>
      </c>
      <c r="AH62" s="139">
        <f>IF(AQ62="0",BJ62,0)</f>
        <v>0</v>
      </c>
      <c r="AI62" s="136" t="s">
        <v>144</v>
      </c>
      <c r="AJ62" s="139">
        <f>IF(AN62=0,K62,0)</f>
        <v>0</v>
      </c>
      <c r="AK62" s="139">
        <f>IF(AN62=15,K62,0)</f>
        <v>0</v>
      </c>
      <c r="AL62" s="139">
        <f>IF(AN62=21,K62,0)</f>
        <v>0</v>
      </c>
      <c r="AN62" s="139">
        <v>21</v>
      </c>
      <c r="AO62" s="139">
        <f>H62*1</f>
        <v>0</v>
      </c>
      <c r="AP62" s="139">
        <f>H62*(1-1)</f>
        <v>0</v>
      </c>
      <c r="AQ62" s="140" t="s">
        <v>355</v>
      </c>
      <c r="AV62" s="139">
        <f>AW62+AX62</f>
        <v>0</v>
      </c>
      <c r="AW62" s="139">
        <f>G62*AO62</f>
        <v>0</v>
      </c>
      <c r="AX62" s="139">
        <f>G62*AP62</f>
        <v>0</v>
      </c>
      <c r="AY62" s="140" t="s">
        <v>356</v>
      </c>
      <c r="AZ62" s="140" t="s">
        <v>1002</v>
      </c>
      <c r="BA62" s="136" t="s">
        <v>149</v>
      </c>
      <c r="BC62" s="139">
        <f>AW62+AX62</f>
        <v>0</v>
      </c>
      <c r="BD62" s="139">
        <f>H62/(100-BE62)*100</f>
        <v>0</v>
      </c>
      <c r="BE62" s="139">
        <v>0</v>
      </c>
      <c r="BF62" s="139">
        <f>62</f>
        <v>62</v>
      </c>
      <c r="BH62" s="139">
        <f>G62*AO62</f>
        <v>0</v>
      </c>
      <c r="BI62" s="139">
        <f>G62*AP62</f>
        <v>0</v>
      </c>
      <c r="BJ62" s="139">
        <f>G62*H62</f>
        <v>0</v>
      </c>
    </row>
    <row r="63" spans="2:12" ht="25.35" customHeight="1">
      <c r="B63" s="141" t="s">
        <v>67</v>
      </c>
      <c r="C63" s="939" t="s">
        <v>1991</v>
      </c>
      <c r="D63" s="940"/>
      <c r="E63" s="940"/>
      <c r="F63" s="940"/>
      <c r="G63" s="940"/>
      <c r="H63" s="940"/>
      <c r="I63" s="940"/>
      <c r="J63" s="940"/>
      <c r="K63" s="940"/>
      <c r="L63" s="940"/>
    </row>
    <row r="64" spans="1:62" ht="15">
      <c r="A64" s="142" t="s">
        <v>221</v>
      </c>
      <c r="B64" s="142" t="s">
        <v>366</v>
      </c>
      <c r="C64" s="941" t="s">
        <v>1992</v>
      </c>
      <c r="D64" s="911"/>
      <c r="E64" s="942"/>
      <c r="F64" s="142" t="s">
        <v>132</v>
      </c>
      <c r="G64" s="143">
        <v>1458.5</v>
      </c>
      <c r="H64" s="578">
        <v>0</v>
      </c>
      <c r="I64" s="143">
        <f>G64*AO64</f>
        <v>0</v>
      </c>
      <c r="J64" s="143">
        <f>G64*AP64</f>
        <v>0</v>
      </c>
      <c r="K64" s="143">
        <f>G64*H64</f>
        <v>0</v>
      </c>
      <c r="L64" s="144" t="s">
        <v>120</v>
      </c>
      <c r="Z64" s="139">
        <f>IF(AQ64="5",BJ64,0)</f>
        <v>0</v>
      </c>
      <c r="AB64" s="139">
        <f>IF(AQ64="1",BH64,0)</f>
        <v>0</v>
      </c>
      <c r="AC64" s="139">
        <f>IF(AQ64="1",BI64,0)</f>
        <v>0</v>
      </c>
      <c r="AD64" s="139">
        <f>IF(AQ64="7",BH64,0)</f>
        <v>0</v>
      </c>
      <c r="AE64" s="139">
        <f>IF(AQ64="7",BI64,0)</f>
        <v>0</v>
      </c>
      <c r="AF64" s="139">
        <f>IF(AQ64="2",BH64,0)</f>
        <v>0</v>
      </c>
      <c r="AG64" s="139">
        <f>IF(AQ64="2",BI64,0)</f>
        <v>0</v>
      </c>
      <c r="AH64" s="139">
        <f>IF(AQ64="0",BJ64,0)</f>
        <v>0</v>
      </c>
      <c r="AI64" s="136" t="s">
        <v>144</v>
      </c>
      <c r="AJ64" s="139">
        <f>IF(AN64=0,K64,0)</f>
        <v>0</v>
      </c>
      <c r="AK64" s="139">
        <f>IF(AN64=15,K64,0)</f>
        <v>0</v>
      </c>
      <c r="AL64" s="139">
        <f>IF(AN64=21,K64,0)</f>
        <v>0</v>
      </c>
      <c r="AN64" s="139">
        <v>21</v>
      </c>
      <c r="AO64" s="139">
        <f>H64*1</f>
        <v>0</v>
      </c>
      <c r="AP64" s="139">
        <f>H64*(1-1)</f>
        <v>0</v>
      </c>
      <c r="AQ64" s="140" t="s">
        <v>355</v>
      </c>
      <c r="AV64" s="139">
        <f>AW64+AX64</f>
        <v>0</v>
      </c>
      <c r="AW64" s="139">
        <f>G64*AO64</f>
        <v>0</v>
      </c>
      <c r="AX64" s="139">
        <f>G64*AP64</f>
        <v>0</v>
      </c>
      <c r="AY64" s="140" t="s">
        <v>356</v>
      </c>
      <c r="AZ64" s="140" t="s">
        <v>1002</v>
      </c>
      <c r="BA64" s="136" t="s">
        <v>149</v>
      </c>
      <c r="BC64" s="139">
        <f>AW64+AX64</f>
        <v>0</v>
      </c>
      <c r="BD64" s="139">
        <f>H64/(100-BE64)*100</f>
        <v>0</v>
      </c>
      <c r="BE64" s="139">
        <v>0</v>
      </c>
      <c r="BF64" s="139">
        <f>64</f>
        <v>64</v>
      </c>
      <c r="BH64" s="139">
        <f>G64*AO64</f>
        <v>0</v>
      </c>
      <c r="BI64" s="139">
        <f>G64*AP64</f>
        <v>0</v>
      </c>
      <c r="BJ64" s="139">
        <f>G64*H64</f>
        <v>0</v>
      </c>
    </row>
    <row r="65" spans="2:12" ht="77.25" customHeight="1">
      <c r="B65" s="141" t="s">
        <v>67</v>
      </c>
      <c r="C65" s="939" t="s">
        <v>1993</v>
      </c>
      <c r="D65" s="940"/>
      <c r="E65" s="940"/>
      <c r="F65" s="940"/>
      <c r="G65" s="940"/>
      <c r="H65" s="940"/>
      <c r="I65" s="940"/>
      <c r="J65" s="940"/>
      <c r="K65" s="940"/>
      <c r="L65" s="940"/>
    </row>
    <row r="66" spans="1:62" ht="15">
      <c r="A66" s="142" t="s">
        <v>226</v>
      </c>
      <c r="B66" s="142" t="s">
        <v>370</v>
      </c>
      <c r="C66" s="941" t="s">
        <v>371</v>
      </c>
      <c r="D66" s="911"/>
      <c r="E66" s="942"/>
      <c r="F66" s="142" t="s">
        <v>209</v>
      </c>
      <c r="G66" s="143">
        <v>1456</v>
      </c>
      <c r="H66" s="578">
        <v>0</v>
      </c>
      <c r="I66" s="143">
        <f>G66*AO66</f>
        <v>0</v>
      </c>
      <c r="J66" s="143">
        <f>G66*AP66</f>
        <v>0</v>
      </c>
      <c r="K66" s="143">
        <f>G66*H66</f>
        <v>0</v>
      </c>
      <c r="L66" s="144" t="s">
        <v>120</v>
      </c>
      <c r="Z66" s="139">
        <f>IF(AQ66="5",BJ66,0)</f>
        <v>0</v>
      </c>
      <c r="AB66" s="139">
        <f>IF(AQ66="1",BH66,0)</f>
        <v>0</v>
      </c>
      <c r="AC66" s="139">
        <f>IF(AQ66="1",BI66,0)</f>
        <v>0</v>
      </c>
      <c r="AD66" s="139">
        <f>IF(AQ66="7",BH66,0)</f>
        <v>0</v>
      </c>
      <c r="AE66" s="139">
        <f>IF(AQ66="7",BI66,0)</f>
        <v>0</v>
      </c>
      <c r="AF66" s="139">
        <f>IF(AQ66="2",BH66,0)</f>
        <v>0</v>
      </c>
      <c r="AG66" s="139">
        <f>IF(AQ66="2",BI66,0)</f>
        <v>0</v>
      </c>
      <c r="AH66" s="139">
        <f>IF(AQ66="0",BJ66,0)</f>
        <v>0</v>
      </c>
      <c r="AI66" s="136" t="s">
        <v>144</v>
      </c>
      <c r="AJ66" s="139">
        <f>IF(AN66=0,K66,0)</f>
        <v>0</v>
      </c>
      <c r="AK66" s="139">
        <f>IF(AN66=15,K66,0)</f>
        <v>0</v>
      </c>
      <c r="AL66" s="139">
        <f>IF(AN66=21,K66,0)</f>
        <v>0</v>
      </c>
      <c r="AN66" s="139">
        <v>21</v>
      </c>
      <c r="AO66" s="139">
        <f>H66*1</f>
        <v>0</v>
      </c>
      <c r="AP66" s="139">
        <f>H66*(1-1)</f>
        <v>0</v>
      </c>
      <c r="AQ66" s="140" t="s">
        <v>355</v>
      </c>
      <c r="AV66" s="139">
        <f>AW66+AX66</f>
        <v>0</v>
      </c>
      <c r="AW66" s="139">
        <f>G66*AO66</f>
        <v>0</v>
      </c>
      <c r="AX66" s="139">
        <f>G66*AP66</f>
        <v>0</v>
      </c>
      <c r="AY66" s="140" t="s">
        <v>356</v>
      </c>
      <c r="AZ66" s="140" t="s">
        <v>1002</v>
      </c>
      <c r="BA66" s="136" t="s">
        <v>149</v>
      </c>
      <c r="BC66" s="139">
        <f>AW66+AX66</f>
        <v>0</v>
      </c>
      <c r="BD66" s="139">
        <f>H66/(100-BE66)*100</f>
        <v>0</v>
      </c>
      <c r="BE66" s="139">
        <v>0</v>
      </c>
      <c r="BF66" s="139">
        <f>66</f>
        <v>66</v>
      </c>
      <c r="BH66" s="139">
        <f>G66*AO66</f>
        <v>0</v>
      </c>
      <c r="BI66" s="139">
        <f>G66*AP66</f>
        <v>0</v>
      </c>
      <c r="BJ66" s="139">
        <f>G66*H66</f>
        <v>0</v>
      </c>
    </row>
    <row r="67" spans="2:12" ht="51.3" customHeight="1">
      <c r="B67" s="141" t="s">
        <v>67</v>
      </c>
      <c r="C67" s="939" t="s">
        <v>1994</v>
      </c>
      <c r="D67" s="940"/>
      <c r="E67" s="940"/>
      <c r="F67" s="940"/>
      <c r="G67" s="940"/>
      <c r="H67" s="940"/>
      <c r="I67" s="940"/>
      <c r="J67" s="940"/>
      <c r="K67" s="940"/>
      <c r="L67" s="940"/>
    </row>
    <row r="68" spans="1:12" ht="15">
      <c r="A68" s="152"/>
      <c r="B68" s="153"/>
      <c r="C68" s="937" t="s">
        <v>1122</v>
      </c>
      <c r="D68" s="938"/>
      <c r="E68" s="938"/>
      <c r="F68" s="152" t="s">
        <v>70</v>
      </c>
      <c r="G68" s="152" t="s">
        <v>70</v>
      </c>
      <c r="H68" s="152" t="s">
        <v>70</v>
      </c>
      <c r="I68" s="154">
        <f>I69+I85+I88+I90</f>
        <v>0</v>
      </c>
      <c r="J68" s="154">
        <f>J69+J85+J88+J90</f>
        <v>0</v>
      </c>
      <c r="K68" s="154">
        <f>K69+K85+K88+K90</f>
        <v>0</v>
      </c>
      <c r="L68" s="155"/>
    </row>
    <row r="69" spans="1:47" ht="15">
      <c r="A69" s="156"/>
      <c r="B69" s="157" t="s">
        <v>177</v>
      </c>
      <c r="C69" s="932" t="s">
        <v>975</v>
      </c>
      <c r="D69" s="933"/>
      <c r="E69" s="933"/>
      <c r="F69" s="156" t="s">
        <v>70</v>
      </c>
      <c r="G69" s="156" t="s">
        <v>70</v>
      </c>
      <c r="H69" s="156" t="s">
        <v>70</v>
      </c>
      <c r="I69" s="158">
        <f>SUM(I70:I84)</f>
        <v>0</v>
      </c>
      <c r="J69" s="158">
        <f>SUM(J70:J84)</f>
        <v>0</v>
      </c>
      <c r="K69" s="158">
        <f>SUM(K70:K84)</f>
        <v>0</v>
      </c>
      <c r="L69" s="159"/>
      <c r="AI69" s="136" t="s">
        <v>157</v>
      </c>
      <c r="AS69" s="137">
        <f>SUM(AJ70:AJ84)</f>
        <v>0</v>
      </c>
      <c r="AT69" s="137">
        <f>SUM(AK70:AK84)</f>
        <v>0</v>
      </c>
      <c r="AU69" s="137">
        <f>SUM(AL70:AL84)</f>
        <v>0</v>
      </c>
    </row>
    <row r="70" spans="1:62" ht="15">
      <c r="A70" s="138" t="s">
        <v>229</v>
      </c>
      <c r="B70" s="138" t="s">
        <v>1020</v>
      </c>
      <c r="C70" s="920" t="s">
        <v>1128</v>
      </c>
      <c r="D70" s="911"/>
      <c r="E70" s="911"/>
      <c r="F70" s="138" t="s">
        <v>109</v>
      </c>
      <c r="G70" s="139">
        <v>5691</v>
      </c>
      <c r="H70" s="577">
        <v>0</v>
      </c>
      <c r="I70" s="139">
        <f aca="true" t="shared" si="22" ref="I70:I84">G70*AO70</f>
        <v>0</v>
      </c>
      <c r="J70" s="139">
        <f aca="true" t="shared" si="23" ref="J70:J84">G70*AP70</f>
        <v>0</v>
      </c>
      <c r="K70" s="139">
        <f aca="true" t="shared" si="24" ref="K70:K84">G70*H70</f>
        <v>0</v>
      </c>
      <c r="L70" s="140" t="s">
        <v>110</v>
      </c>
      <c r="Z70" s="139">
        <f aca="true" t="shared" si="25" ref="Z70:Z84">IF(AQ70="5",BJ70,0)</f>
        <v>0</v>
      </c>
      <c r="AB70" s="139">
        <f aca="true" t="shared" si="26" ref="AB70:AB84">IF(AQ70="1",BH70,0)</f>
        <v>0</v>
      </c>
      <c r="AC70" s="139">
        <f aca="true" t="shared" si="27" ref="AC70:AC84">IF(AQ70="1",BI70,0)</f>
        <v>0</v>
      </c>
      <c r="AD70" s="139">
        <f aca="true" t="shared" si="28" ref="AD70:AD84">IF(AQ70="7",BH70,0)</f>
        <v>0</v>
      </c>
      <c r="AE70" s="139">
        <f aca="true" t="shared" si="29" ref="AE70:AE84">IF(AQ70="7",BI70,0)</f>
        <v>0</v>
      </c>
      <c r="AF70" s="139">
        <f aca="true" t="shared" si="30" ref="AF70:AF84">IF(AQ70="2",BH70,0)</f>
        <v>0</v>
      </c>
      <c r="AG70" s="139">
        <f aca="true" t="shared" si="31" ref="AG70:AG84">IF(AQ70="2",BI70,0)</f>
        <v>0</v>
      </c>
      <c r="AH70" s="139">
        <f aca="true" t="shared" si="32" ref="AH70:AH84">IF(AQ70="0",BJ70,0)</f>
        <v>0</v>
      </c>
      <c r="AI70" s="136" t="s">
        <v>157</v>
      </c>
      <c r="AJ70" s="139">
        <f aca="true" t="shared" si="33" ref="AJ70:AJ84">IF(AN70=0,K70,0)</f>
        <v>0</v>
      </c>
      <c r="AK70" s="139">
        <f aca="true" t="shared" si="34" ref="AK70:AK84">IF(AN70=15,K70,0)</f>
        <v>0</v>
      </c>
      <c r="AL70" s="139">
        <f aca="true" t="shared" si="35" ref="AL70:AL84">IF(AN70=21,K70,0)</f>
        <v>0</v>
      </c>
      <c r="AN70" s="139">
        <v>21</v>
      </c>
      <c r="AO70" s="139">
        <f>H70*0.00665024630541872</f>
        <v>0</v>
      </c>
      <c r="AP70" s="139">
        <f>H70*(1-0.00665024630541872)</f>
        <v>0</v>
      </c>
      <c r="AQ70" s="140" t="s">
        <v>106</v>
      </c>
      <c r="AV70" s="139">
        <f aca="true" t="shared" si="36" ref="AV70:AV84">AW70+AX70</f>
        <v>0</v>
      </c>
      <c r="AW70" s="139">
        <f aca="true" t="shared" si="37" ref="AW70:AW84">G70*AO70</f>
        <v>0</v>
      </c>
      <c r="AX70" s="139">
        <f aca="true" t="shared" si="38" ref="AX70:AX84">G70*AP70</f>
        <v>0</v>
      </c>
      <c r="AY70" s="140" t="s">
        <v>439</v>
      </c>
      <c r="AZ70" s="140" t="s">
        <v>161</v>
      </c>
      <c r="BA70" s="136" t="s">
        <v>162</v>
      </c>
      <c r="BC70" s="139">
        <f aca="true" t="shared" si="39" ref="BC70:BC84">AW70+AX70</f>
        <v>0</v>
      </c>
      <c r="BD70" s="139">
        <f aca="true" t="shared" si="40" ref="BD70:BD84">H70/(100-BE70)*100</f>
        <v>0</v>
      </c>
      <c r="BE70" s="139">
        <v>0</v>
      </c>
      <c r="BF70" s="139">
        <f>70</f>
        <v>70</v>
      </c>
      <c r="BH70" s="139">
        <f aca="true" t="shared" si="41" ref="BH70:BH84">G70*AO70</f>
        <v>0</v>
      </c>
      <c r="BI70" s="139">
        <f aca="true" t="shared" si="42" ref="BI70:BI84">G70*AP70</f>
        <v>0</v>
      </c>
      <c r="BJ70" s="139">
        <f aca="true" t="shared" si="43" ref="BJ70:BJ84">G70*H70</f>
        <v>0</v>
      </c>
    </row>
    <row r="71" spans="1:62" ht="15">
      <c r="A71" s="138" t="s">
        <v>232</v>
      </c>
      <c r="B71" s="138" t="s">
        <v>1023</v>
      </c>
      <c r="C71" s="920" t="s">
        <v>1024</v>
      </c>
      <c r="D71" s="911"/>
      <c r="E71" s="911"/>
      <c r="F71" s="138" t="s">
        <v>109</v>
      </c>
      <c r="G71" s="139">
        <v>5691</v>
      </c>
      <c r="H71" s="577">
        <v>0</v>
      </c>
      <c r="I71" s="139">
        <f t="shared" si="22"/>
        <v>0</v>
      </c>
      <c r="J71" s="139">
        <f t="shared" si="23"/>
        <v>0</v>
      </c>
      <c r="K71" s="139">
        <f t="shared" si="24"/>
        <v>0</v>
      </c>
      <c r="L71" s="140" t="s">
        <v>110</v>
      </c>
      <c r="Z71" s="139">
        <f t="shared" si="25"/>
        <v>0</v>
      </c>
      <c r="AB71" s="139">
        <f t="shared" si="26"/>
        <v>0</v>
      </c>
      <c r="AC71" s="139">
        <f t="shared" si="27"/>
        <v>0</v>
      </c>
      <c r="AD71" s="139">
        <f t="shared" si="28"/>
        <v>0</v>
      </c>
      <c r="AE71" s="139">
        <f t="shared" si="29"/>
        <v>0</v>
      </c>
      <c r="AF71" s="139">
        <f t="shared" si="30"/>
        <v>0</v>
      </c>
      <c r="AG71" s="139">
        <f t="shared" si="31"/>
        <v>0</v>
      </c>
      <c r="AH71" s="139">
        <f t="shared" si="32"/>
        <v>0</v>
      </c>
      <c r="AI71" s="136" t="s">
        <v>157</v>
      </c>
      <c r="AJ71" s="139">
        <f t="shared" si="33"/>
        <v>0</v>
      </c>
      <c r="AK71" s="139">
        <f t="shared" si="34"/>
        <v>0</v>
      </c>
      <c r="AL71" s="139">
        <f t="shared" si="35"/>
        <v>0</v>
      </c>
      <c r="AN71" s="139">
        <v>21</v>
      </c>
      <c r="AO71" s="139">
        <f aca="true" t="shared" si="44" ref="AO71:AO76">H71*0</f>
        <v>0</v>
      </c>
      <c r="AP71" s="139">
        <f aca="true" t="shared" si="45" ref="AP71:AP76">H71*(1-0)</f>
        <v>0</v>
      </c>
      <c r="AQ71" s="140" t="s">
        <v>106</v>
      </c>
      <c r="AV71" s="139">
        <f t="shared" si="36"/>
        <v>0</v>
      </c>
      <c r="AW71" s="139">
        <f t="shared" si="37"/>
        <v>0</v>
      </c>
      <c r="AX71" s="139">
        <f t="shared" si="38"/>
        <v>0</v>
      </c>
      <c r="AY71" s="140" t="s">
        <v>439</v>
      </c>
      <c r="AZ71" s="140" t="s">
        <v>161</v>
      </c>
      <c r="BA71" s="136" t="s">
        <v>162</v>
      </c>
      <c r="BC71" s="139">
        <f t="shared" si="39"/>
        <v>0</v>
      </c>
      <c r="BD71" s="139">
        <f t="shared" si="40"/>
        <v>0</v>
      </c>
      <c r="BE71" s="139">
        <v>0</v>
      </c>
      <c r="BF71" s="139">
        <f>71</f>
        <v>71</v>
      </c>
      <c r="BH71" s="139">
        <f t="shared" si="41"/>
        <v>0</v>
      </c>
      <c r="BI71" s="139">
        <f t="shared" si="42"/>
        <v>0</v>
      </c>
      <c r="BJ71" s="139">
        <f t="shared" si="43"/>
        <v>0</v>
      </c>
    </row>
    <row r="72" spans="1:62" ht="15">
      <c r="A72" s="138" t="s">
        <v>235</v>
      </c>
      <c r="B72" s="138" t="s">
        <v>1995</v>
      </c>
      <c r="C72" s="920" t="s">
        <v>1996</v>
      </c>
      <c r="D72" s="911"/>
      <c r="E72" s="911"/>
      <c r="F72" s="138" t="s">
        <v>109</v>
      </c>
      <c r="G72" s="139">
        <v>250</v>
      </c>
      <c r="H72" s="577">
        <v>0</v>
      </c>
      <c r="I72" s="139">
        <f t="shared" si="22"/>
        <v>0</v>
      </c>
      <c r="J72" s="139">
        <f t="shared" si="23"/>
        <v>0</v>
      </c>
      <c r="K72" s="139">
        <f t="shared" si="24"/>
        <v>0</v>
      </c>
      <c r="L72" s="140"/>
      <c r="Z72" s="139">
        <f t="shared" si="25"/>
        <v>0</v>
      </c>
      <c r="AB72" s="139">
        <f t="shared" si="26"/>
        <v>0</v>
      </c>
      <c r="AC72" s="139">
        <f t="shared" si="27"/>
        <v>0</v>
      </c>
      <c r="AD72" s="139">
        <f t="shared" si="28"/>
        <v>0</v>
      </c>
      <c r="AE72" s="139">
        <f t="shared" si="29"/>
        <v>0</v>
      </c>
      <c r="AF72" s="139">
        <f t="shared" si="30"/>
        <v>0</v>
      </c>
      <c r="AG72" s="139">
        <f t="shared" si="31"/>
        <v>0</v>
      </c>
      <c r="AH72" s="139">
        <f t="shared" si="32"/>
        <v>0</v>
      </c>
      <c r="AI72" s="136" t="s">
        <v>157</v>
      </c>
      <c r="AJ72" s="139">
        <f t="shared" si="33"/>
        <v>0</v>
      </c>
      <c r="AK72" s="139">
        <f t="shared" si="34"/>
        <v>0</v>
      </c>
      <c r="AL72" s="139">
        <f t="shared" si="35"/>
        <v>0</v>
      </c>
      <c r="AN72" s="139">
        <v>21</v>
      </c>
      <c r="AO72" s="139">
        <f t="shared" si="44"/>
        <v>0</v>
      </c>
      <c r="AP72" s="139">
        <f t="shared" si="45"/>
        <v>0</v>
      </c>
      <c r="AQ72" s="140" t="s">
        <v>106</v>
      </c>
      <c r="AV72" s="139">
        <f t="shared" si="36"/>
        <v>0</v>
      </c>
      <c r="AW72" s="139">
        <f t="shared" si="37"/>
        <v>0</v>
      </c>
      <c r="AX72" s="139">
        <f t="shared" si="38"/>
        <v>0</v>
      </c>
      <c r="AY72" s="140" t="s">
        <v>439</v>
      </c>
      <c r="AZ72" s="140" t="s">
        <v>161</v>
      </c>
      <c r="BA72" s="136" t="s">
        <v>162</v>
      </c>
      <c r="BC72" s="139">
        <f t="shared" si="39"/>
        <v>0</v>
      </c>
      <c r="BD72" s="139">
        <f t="shared" si="40"/>
        <v>0</v>
      </c>
      <c r="BE72" s="139">
        <v>0</v>
      </c>
      <c r="BF72" s="139">
        <f>72</f>
        <v>72</v>
      </c>
      <c r="BH72" s="139">
        <f t="shared" si="41"/>
        <v>0</v>
      </c>
      <c r="BI72" s="139">
        <f t="shared" si="42"/>
        <v>0</v>
      </c>
      <c r="BJ72" s="139">
        <f t="shared" si="43"/>
        <v>0</v>
      </c>
    </row>
    <row r="73" spans="1:62" ht="15">
      <c r="A73" s="138" t="s">
        <v>240</v>
      </c>
      <c r="B73" s="138" t="s">
        <v>1997</v>
      </c>
      <c r="C73" s="920" t="s">
        <v>1998</v>
      </c>
      <c r="D73" s="911"/>
      <c r="E73" s="911"/>
      <c r="F73" s="138" t="s">
        <v>109</v>
      </c>
      <c r="G73" s="139">
        <v>250</v>
      </c>
      <c r="H73" s="577">
        <v>0</v>
      </c>
      <c r="I73" s="139">
        <f t="shared" si="22"/>
        <v>0</v>
      </c>
      <c r="J73" s="139">
        <f t="shared" si="23"/>
        <v>0</v>
      </c>
      <c r="K73" s="139">
        <f t="shared" si="24"/>
        <v>0</v>
      </c>
      <c r="L73" s="140"/>
      <c r="Z73" s="139">
        <f t="shared" si="25"/>
        <v>0</v>
      </c>
      <c r="AB73" s="139">
        <f t="shared" si="26"/>
        <v>0</v>
      </c>
      <c r="AC73" s="139">
        <f t="shared" si="27"/>
        <v>0</v>
      </c>
      <c r="AD73" s="139">
        <f t="shared" si="28"/>
        <v>0</v>
      </c>
      <c r="AE73" s="139">
        <f t="shared" si="29"/>
        <v>0</v>
      </c>
      <c r="AF73" s="139">
        <f t="shared" si="30"/>
        <v>0</v>
      </c>
      <c r="AG73" s="139">
        <f t="shared" si="31"/>
        <v>0</v>
      </c>
      <c r="AH73" s="139">
        <f t="shared" si="32"/>
        <v>0</v>
      </c>
      <c r="AI73" s="136" t="s">
        <v>157</v>
      </c>
      <c r="AJ73" s="139">
        <f t="shared" si="33"/>
        <v>0</v>
      </c>
      <c r="AK73" s="139">
        <f t="shared" si="34"/>
        <v>0</v>
      </c>
      <c r="AL73" s="139">
        <f t="shared" si="35"/>
        <v>0</v>
      </c>
      <c r="AN73" s="139">
        <v>21</v>
      </c>
      <c r="AO73" s="139">
        <f t="shared" si="44"/>
        <v>0</v>
      </c>
      <c r="AP73" s="139">
        <f t="shared" si="45"/>
        <v>0</v>
      </c>
      <c r="AQ73" s="140" t="s">
        <v>106</v>
      </c>
      <c r="AV73" s="139">
        <f t="shared" si="36"/>
        <v>0</v>
      </c>
      <c r="AW73" s="139">
        <f t="shared" si="37"/>
        <v>0</v>
      </c>
      <c r="AX73" s="139">
        <f t="shared" si="38"/>
        <v>0</v>
      </c>
      <c r="AY73" s="140" t="s">
        <v>439</v>
      </c>
      <c r="AZ73" s="140" t="s">
        <v>161</v>
      </c>
      <c r="BA73" s="136" t="s">
        <v>162</v>
      </c>
      <c r="BC73" s="139">
        <f t="shared" si="39"/>
        <v>0</v>
      </c>
      <c r="BD73" s="139">
        <f t="shared" si="40"/>
        <v>0</v>
      </c>
      <c r="BE73" s="139">
        <v>0</v>
      </c>
      <c r="BF73" s="139">
        <f>73</f>
        <v>73</v>
      </c>
      <c r="BH73" s="139">
        <f t="shared" si="41"/>
        <v>0</v>
      </c>
      <c r="BI73" s="139">
        <f t="shared" si="42"/>
        <v>0</v>
      </c>
      <c r="BJ73" s="139">
        <f t="shared" si="43"/>
        <v>0</v>
      </c>
    </row>
    <row r="74" spans="1:62" ht="15">
      <c r="A74" s="138" t="s">
        <v>243</v>
      </c>
      <c r="B74" s="138" t="s">
        <v>1025</v>
      </c>
      <c r="C74" s="920" t="s">
        <v>1999</v>
      </c>
      <c r="D74" s="911"/>
      <c r="E74" s="911"/>
      <c r="F74" s="138" t="s">
        <v>253</v>
      </c>
      <c r="G74" s="139">
        <v>796</v>
      </c>
      <c r="H74" s="577">
        <v>0</v>
      </c>
      <c r="I74" s="139">
        <f t="shared" si="22"/>
        <v>0</v>
      </c>
      <c r="J74" s="139">
        <f t="shared" si="23"/>
        <v>0</v>
      </c>
      <c r="K74" s="139">
        <f t="shared" si="24"/>
        <v>0</v>
      </c>
      <c r="L74" s="140" t="s">
        <v>110</v>
      </c>
      <c r="Z74" s="139">
        <f t="shared" si="25"/>
        <v>0</v>
      </c>
      <c r="AB74" s="139">
        <f t="shared" si="26"/>
        <v>0</v>
      </c>
      <c r="AC74" s="139">
        <f t="shared" si="27"/>
        <v>0</v>
      </c>
      <c r="AD74" s="139">
        <f t="shared" si="28"/>
        <v>0</v>
      </c>
      <c r="AE74" s="139">
        <f t="shared" si="29"/>
        <v>0</v>
      </c>
      <c r="AF74" s="139">
        <f t="shared" si="30"/>
        <v>0</v>
      </c>
      <c r="AG74" s="139">
        <f t="shared" si="31"/>
        <v>0</v>
      </c>
      <c r="AH74" s="139">
        <f t="shared" si="32"/>
        <v>0</v>
      </c>
      <c r="AI74" s="136" t="s">
        <v>157</v>
      </c>
      <c r="AJ74" s="139">
        <f t="shared" si="33"/>
        <v>0</v>
      </c>
      <c r="AK74" s="139">
        <f t="shared" si="34"/>
        <v>0</v>
      </c>
      <c r="AL74" s="139">
        <f t="shared" si="35"/>
        <v>0</v>
      </c>
      <c r="AN74" s="139">
        <v>21</v>
      </c>
      <c r="AO74" s="139">
        <f t="shared" si="44"/>
        <v>0</v>
      </c>
      <c r="AP74" s="139">
        <f t="shared" si="45"/>
        <v>0</v>
      </c>
      <c r="AQ74" s="140" t="s">
        <v>106</v>
      </c>
      <c r="AV74" s="139">
        <f t="shared" si="36"/>
        <v>0</v>
      </c>
      <c r="AW74" s="139">
        <f t="shared" si="37"/>
        <v>0</v>
      </c>
      <c r="AX74" s="139">
        <f t="shared" si="38"/>
        <v>0</v>
      </c>
      <c r="AY74" s="140" t="s">
        <v>439</v>
      </c>
      <c r="AZ74" s="140" t="s">
        <v>161</v>
      </c>
      <c r="BA74" s="136" t="s">
        <v>162</v>
      </c>
      <c r="BC74" s="139">
        <f t="shared" si="39"/>
        <v>0</v>
      </c>
      <c r="BD74" s="139">
        <f t="shared" si="40"/>
        <v>0</v>
      </c>
      <c r="BE74" s="139">
        <v>0</v>
      </c>
      <c r="BF74" s="139">
        <f>74</f>
        <v>74</v>
      </c>
      <c r="BH74" s="139">
        <f t="shared" si="41"/>
        <v>0</v>
      </c>
      <c r="BI74" s="139">
        <f t="shared" si="42"/>
        <v>0</v>
      </c>
      <c r="BJ74" s="139">
        <f t="shared" si="43"/>
        <v>0</v>
      </c>
    </row>
    <row r="75" spans="1:62" ht="15">
      <c r="A75" s="138" t="s">
        <v>245</v>
      </c>
      <c r="B75" s="138" t="s">
        <v>1031</v>
      </c>
      <c r="C75" s="920" t="s">
        <v>1032</v>
      </c>
      <c r="D75" s="911"/>
      <c r="E75" s="911"/>
      <c r="F75" s="138" t="s">
        <v>109</v>
      </c>
      <c r="G75" s="139">
        <v>5691</v>
      </c>
      <c r="H75" s="577">
        <v>0</v>
      </c>
      <c r="I75" s="139">
        <f t="shared" si="22"/>
        <v>0</v>
      </c>
      <c r="J75" s="139">
        <f t="shared" si="23"/>
        <v>0</v>
      </c>
      <c r="K75" s="139">
        <f t="shared" si="24"/>
        <v>0</v>
      </c>
      <c r="L75" s="140" t="s">
        <v>110</v>
      </c>
      <c r="Z75" s="139">
        <f t="shared" si="25"/>
        <v>0</v>
      </c>
      <c r="AB75" s="139">
        <f t="shared" si="26"/>
        <v>0</v>
      </c>
      <c r="AC75" s="139">
        <f t="shared" si="27"/>
        <v>0</v>
      </c>
      <c r="AD75" s="139">
        <f t="shared" si="28"/>
        <v>0</v>
      </c>
      <c r="AE75" s="139">
        <f t="shared" si="29"/>
        <v>0</v>
      </c>
      <c r="AF75" s="139">
        <f t="shared" si="30"/>
        <v>0</v>
      </c>
      <c r="AG75" s="139">
        <f t="shared" si="31"/>
        <v>0</v>
      </c>
      <c r="AH75" s="139">
        <f t="shared" si="32"/>
        <v>0</v>
      </c>
      <c r="AI75" s="136" t="s">
        <v>157</v>
      </c>
      <c r="AJ75" s="139">
        <f t="shared" si="33"/>
        <v>0</v>
      </c>
      <c r="AK75" s="139">
        <f t="shared" si="34"/>
        <v>0</v>
      </c>
      <c r="AL75" s="139">
        <f t="shared" si="35"/>
        <v>0</v>
      </c>
      <c r="AN75" s="139">
        <v>21</v>
      </c>
      <c r="AO75" s="139">
        <f t="shared" si="44"/>
        <v>0</v>
      </c>
      <c r="AP75" s="139">
        <f t="shared" si="45"/>
        <v>0</v>
      </c>
      <c r="AQ75" s="140" t="s">
        <v>106</v>
      </c>
      <c r="AV75" s="139">
        <f t="shared" si="36"/>
        <v>0</v>
      </c>
      <c r="AW75" s="139">
        <f t="shared" si="37"/>
        <v>0</v>
      </c>
      <c r="AX75" s="139">
        <f t="shared" si="38"/>
        <v>0</v>
      </c>
      <c r="AY75" s="140" t="s">
        <v>439</v>
      </c>
      <c r="AZ75" s="140" t="s">
        <v>161</v>
      </c>
      <c r="BA75" s="136" t="s">
        <v>162</v>
      </c>
      <c r="BC75" s="139">
        <f t="shared" si="39"/>
        <v>0</v>
      </c>
      <c r="BD75" s="139">
        <f t="shared" si="40"/>
        <v>0</v>
      </c>
      <c r="BE75" s="139">
        <v>0</v>
      </c>
      <c r="BF75" s="139">
        <f>75</f>
        <v>75</v>
      </c>
      <c r="BH75" s="139">
        <f t="shared" si="41"/>
        <v>0</v>
      </c>
      <c r="BI75" s="139">
        <f t="shared" si="42"/>
        <v>0</v>
      </c>
      <c r="BJ75" s="139">
        <f t="shared" si="43"/>
        <v>0</v>
      </c>
    </row>
    <row r="76" spans="1:62" ht="15">
      <c r="A76" s="138" t="s">
        <v>248</v>
      </c>
      <c r="B76" s="138" t="s">
        <v>1034</v>
      </c>
      <c r="C76" s="920" t="s">
        <v>2000</v>
      </c>
      <c r="D76" s="911"/>
      <c r="E76" s="911"/>
      <c r="F76" s="138" t="s">
        <v>109</v>
      </c>
      <c r="G76" s="139">
        <v>5691</v>
      </c>
      <c r="H76" s="577">
        <v>0</v>
      </c>
      <c r="I76" s="139">
        <f t="shared" si="22"/>
        <v>0</v>
      </c>
      <c r="J76" s="139">
        <f t="shared" si="23"/>
        <v>0</v>
      </c>
      <c r="K76" s="139">
        <f t="shared" si="24"/>
        <v>0</v>
      </c>
      <c r="L76" s="140" t="s">
        <v>110</v>
      </c>
      <c r="Z76" s="139">
        <f t="shared" si="25"/>
        <v>0</v>
      </c>
      <c r="AB76" s="139">
        <f t="shared" si="26"/>
        <v>0</v>
      </c>
      <c r="AC76" s="139">
        <f t="shared" si="27"/>
        <v>0</v>
      </c>
      <c r="AD76" s="139">
        <f t="shared" si="28"/>
        <v>0</v>
      </c>
      <c r="AE76" s="139">
        <f t="shared" si="29"/>
        <v>0</v>
      </c>
      <c r="AF76" s="139">
        <f t="shared" si="30"/>
        <v>0</v>
      </c>
      <c r="AG76" s="139">
        <f t="shared" si="31"/>
        <v>0</v>
      </c>
      <c r="AH76" s="139">
        <f t="shared" si="32"/>
        <v>0</v>
      </c>
      <c r="AI76" s="136" t="s">
        <v>157</v>
      </c>
      <c r="AJ76" s="139">
        <f t="shared" si="33"/>
        <v>0</v>
      </c>
      <c r="AK76" s="139">
        <f t="shared" si="34"/>
        <v>0</v>
      </c>
      <c r="AL76" s="139">
        <f t="shared" si="35"/>
        <v>0</v>
      </c>
      <c r="AN76" s="139">
        <v>21</v>
      </c>
      <c r="AO76" s="139">
        <f t="shared" si="44"/>
        <v>0</v>
      </c>
      <c r="AP76" s="139">
        <f t="shared" si="45"/>
        <v>0</v>
      </c>
      <c r="AQ76" s="140" t="s">
        <v>106</v>
      </c>
      <c r="AV76" s="139">
        <f t="shared" si="36"/>
        <v>0</v>
      </c>
      <c r="AW76" s="139">
        <f t="shared" si="37"/>
        <v>0</v>
      </c>
      <c r="AX76" s="139">
        <f t="shared" si="38"/>
        <v>0</v>
      </c>
      <c r="AY76" s="140" t="s">
        <v>439</v>
      </c>
      <c r="AZ76" s="140" t="s">
        <v>161</v>
      </c>
      <c r="BA76" s="136" t="s">
        <v>162</v>
      </c>
      <c r="BC76" s="139">
        <f t="shared" si="39"/>
        <v>0</v>
      </c>
      <c r="BD76" s="139">
        <f t="shared" si="40"/>
        <v>0</v>
      </c>
      <c r="BE76" s="139">
        <v>0</v>
      </c>
      <c r="BF76" s="139">
        <f>76</f>
        <v>76</v>
      </c>
      <c r="BH76" s="139">
        <f t="shared" si="41"/>
        <v>0</v>
      </c>
      <c r="BI76" s="139">
        <f t="shared" si="42"/>
        <v>0</v>
      </c>
      <c r="BJ76" s="139">
        <f t="shared" si="43"/>
        <v>0</v>
      </c>
    </row>
    <row r="77" spans="1:62" ht="15">
      <c r="A77" s="138" t="s">
        <v>250</v>
      </c>
      <c r="B77" s="138" t="s">
        <v>1036</v>
      </c>
      <c r="C77" s="920" t="s">
        <v>2001</v>
      </c>
      <c r="D77" s="911"/>
      <c r="E77" s="911"/>
      <c r="F77" s="138" t="s">
        <v>253</v>
      </c>
      <c r="G77" s="139">
        <v>228</v>
      </c>
      <c r="H77" s="577">
        <v>0</v>
      </c>
      <c r="I77" s="139">
        <f t="shared" si="22"/>
        <v>0</v>
      </c>
      <c r="J77" s="139">
        <f t="shared" si="23"/>
        <v>0</v>
      </c>
      <c r="K77" s="139">
        <f t="shared" si="24"/>
        <v>0</v>
      </c>
      <c r="L77" s="140" t="s">
        <v>110</v>
      </c>
      <c r="Z77" s="139">
        <f t="shared" si="25"/>
        <v>0</v>
      </c>
      <c r="AB77" s="139">
        <f t="shared" si="26"/>
        <v>0</v>
      </c>
      <c r="AC77" s="139">
        <f t="shared" si="27"/>
        <v>0</v>
      </c>
      <c r="AD77" s="139">
        <f t="shared" si="28"/>
        <v>0</v>
      </c>
      <c r="AE77" s="139">
        <f t="shared" si="29"/>
        <v>0</v>
      </c>
      <c r="AF77" s="139">
        <f t="shared" si="30"/>
        <v>0</v>
      </c>
      <c r="AG77" s="139">
        <f t="shared" si="31"/>
        <v>0</v>
      </c>
      <c r="AH77" s="139">
        <f t="shared" si="32"/>
        <v>0</v>
      </c>
      <c r="AI77" s="136" t="s">
        <v>157</v>
      </c>
      <c r="AJ77" s="139">
        <f t="shared" si="33"/>
        <v>0</v>
      </c>
      <c r="AK77" s="139">
        <f t="shared" si="34"/>
        <v>0</v>
      </c>
      <c r="AL77" s="139">
        <f t="shared" si="35"/>
        <v>0</v>
      </c>
      <c r="AN77" s="139">
        <v>21</v>
      </c>
      <c r="AO77" s="139">
        <f>H77*0.446025437201908</f>
        <v>0</v>
      </c>
      <c r="AP77" s="139">
        <f>H77*(1-0.446025437201908)</f>
        <v>0</v>
      </c>
      <c r="AQ77" s="140" t="s">
        <v>106</v>
      </c>
      <c r="AV77" s="139">
        <f t="shared" si="36"/>
        <v>0</v>
      </c>
      <c r="AW77" s="139">
        <f t="shared" si="37"/>
        <v>0</v>
      </c>
      <c r="AX77" s="139">
        <f t="shared" si="38"/>
        <v>0</v>
      </c>
      <c r="AY77" s="140" t="s">
        <v>439</v>
      </c>
      <c r="AZ77" s="140" t="s">
        <v>161</v>
      </c>
      <c r="BA77" s="136" t="s">
        <v>162</v>
      </c>
      <c r="BC77" s="139">
        <f t="shared" si="39"/>
        <v>0</v>
      </c>
      <c r="BD77" s="139">
        <f t="shared" si="40"/>
        <v>0</v>
      </c>
      <c r="BE77" s="139">
        <v>0</v>
      </c>
      <c r="BF77" s="139">
        <f>77</f>
        <v>77</v>
      </c>
      <c r="BH77" s="139">
        <f t="shared" si="41"/>
        <v>0</v>
      </c>
      <c r="BI77" s="139">
        <f t="shared" si="42"/>
        <v>0</v>
      </c>
      <c r="BJ77" s="139">
        <f t="shared" si="43"/>
        <v>0</v>
      </c>
    </row>
    <row r="78" spans="1:62" ht="15">
      <c r="A78" s="138" t="s">
        <v>255</v>
      </c>
      <c r="B78" s="138" t="s">
        <v>1038</v>
      </c>
      <c r="C78" s="920" t="s">
        <v>1039</v>
      </c>
      <c r="D78" s="911"/>
      <c r="E78" s="911"/>
      <c r="F78" s="138" t="s">
        <v>109</v>
      </c>
      <c r="G78" s="139">
        <v>5691</v>
      </c>
      <c r="H78" s="577">
        <v>0</v>
      </c>
      <c r="I78" s="139">
        <f t="shared" si="22"/>
        <v>0</v>
      </c>
      <c r="J78" s="139">
        <f t="shared" si="23"/>
        <v>0</v>
      </c>
      <c r="K78" s="139">
        <f t="shared" si="24"/>
        <v>0</v>
      </c>
      <c r="L78" s="140" t="s">
        <v>110</v>
      </c>
      <c r="Z78" s="139">
        <f t="shared" si="25"/>
        <v>0</v>
      </c>
      <c r="AB78" s="139">
        <f t="shared" si="26"/>
        <v>0</v>
      </c>
      <c r="AC78" s="139">
        <f t="shared" si="27"/>
        <v>0</v>
      </c>
      <c r="AD78" s="139">
        <f t="shared" si="28"/>
        <v>0</v>
      </c>
      <c r="AE78" s="139">
        <f t="shared" si="29"/>
        <v>0</v>
      </c>
      <c r="AF78" s="139">
        <f t="shared" si="30"/>
        <v>0</v>
      </c>
      <c r="AG78" s="139">
        <f t="shared" si="31"/>
        <v>0</v>
      </c>
      <c r="AH78" s="139">
        <f t="shared" si="32"/>
        <v>0</v>
      </c>
      <c r="AI78" s="136" t="s">
        <v>157</v>
      </c>
      <c r="AJ78" s="139">
        <f t="shared" si="33"/>
        <v>0</v>
      </c>
      <c r="AK78" s="139">
        <f t="shared" si="34"/>
        <v>0</v>
      </c>
      <c r="AL78" s="139">
        <f t="shared" si="35"/>
        <v>0</v>
      </c>
      <c r="AN78" s="139">
        <v>21</v>
      </c>
      <c r="AO78" s="139">
        <f>H78*0</f>
        <v>0</v>
      </c>
      <c r="AP78" s="139">
        <f>H78*(1-0)</f>
        <v>0</v>
      </c>
      <c r="AQ78" s="140" t="s">
        <v>106</v>
      </c>
      <c r="AV78" s="139">
        <f t="shared" si="36"/>
        <v>0</v>
      </c>
      <c r="AW78" s="139">
        <f t="shared" si="37"/>
        <v>0</v>
      </c>
      <c r="AX78" s="139">
        <f t="shared" si="38"/>
        <v>0</v>
      </c>
      <c r="AY78" s="140" t="s">
        <v>439</v>
      </c>
      <c r="AZ78" s="140" t="s">
        <v>161</v>
      </c>
      <c r="BA78" s="136" t="s">
        <v>162</v>
      </c>
      <c r="BC78" s="139">
        <f t="shared" si="39"/>
        <v>0</v>
      </c>
      <c r="BD78" s="139">
        <f t="shared" si="40"/>
        <v>0</v>
      </c>
      <c r="BE78" s="139">
        <v>0</v>
      </c>
      <c r="BF78" s="139">
        <f>78</f>
        <v>78</v>
      </c>
      <c r="BH78" s="139">
        <f t="shared" si="41"/>
        <v>0</v>
      </c>
      <c r="BI78" s="139">
        <f t="shared" si="42"/>
        <v>0</v>
      </c>
      <c r="BJ78" s="139">
        <f t="shared" si="43"/>
        <v>0</v>
      </c>
    </row>
    <row r="79" spans="1:62" ht="15">
      <c r="A79" s="138" t="s">
        <v>258</v>
      </c>
      <c r="B79" s="138" t="s">
        <v>1040</v>
      </c>
      <c r="C79" s="920" t="s">
        <v>1041</v>
      </c>
      <c r="D79" s="911"/>
      <c r="E79" s="911"/>
      <c r="F79" s="138" t="s">
        <v>109</v>
      </c>
      <c r="G79" s="139">
        <v>5691</v>
      </c>
      <c r="H79" s="577">
        <v>0</v>
      </c>
      <c r="I79" s="139">
        <f t="shared" si="22"/>
        <v>0</v>
      </c>
      <c r="J79" s="139">
        <f t="shared" si="23"/>
        <v>0</v>
      </c>
      <c r="K79" s="139">
        <f t="shared" si="24"/>
        <v>0</v>
      </c>
      <c r="L79" s="140" t="s">
        <v>110</v>
      </c>
      <c r="Z79" s="139">
        <f t="shared" si="25"/>
        <v>0</v>
      </c>
      <c r="AB79" s="139">
        <f t="shared" si="26"/>
        <v>0</v>
      </c>
      <c r="AC79" s="139">
        <f t="shared" si="27"/>
        <v>0</v>
      </c>
      <c r="AD79" s="139">
        <f t="shared" si="28"/>
        <v>0</v>
      </c>
      <c r="AE79" s="139">
        <f t="shared" si="29"/>
        <v>0</v>
      </c>
      <c r="AF79" s="139">
        <f t="shared" si="30"/>
        <v>0</v>
      </c>
      <c r="AG79" s="139">
        <f t="shared" si="31"/>
        <v>0</v>
      </c>
      <c r="AH79" s="139">
        <f t="shared" si="32"/>
        <v>0</v>
      </c>
      <c r="AI79" s="136" t="s">
        <v>157</v>
      </c>
      <c r="AJ79" s="139">
        <f t="shared" si="33"/>
        <v>0</v>
      </c>
      <c r="AK79" s="139">
        <f t="shared" si="34"/>
        <v>0</v>
      </c>
      <c r="AL79" s="139">
        <f t="shared" si="35"/>
        <v>0</v>
      </c>
      <c r="AN79" s="139">
        <v>21</v>
      </c>
      <c r="AO79" s="139">
        <f>H79*0</f>
        <v>0</v>
      </c>
      <c r="AP79" s="139">
        <f>H79*(1-0)</f>
        <v>0</v>
      </c>
      <c r="AQ79" s="140" t="s">
        <v>106</v>
      </c>
      <c r="AV79" s="139">
        <f t="shared" si="36"/>
        <v>0</v>
      </c>
      <c r="AW79" s="139">
        <f t="shared" si="37"/>
        <v>0</v>
      </c>
      <c r="AX79" s="139">
        <f t="shared" si="38"/>
        <v>0</v>
      </c>
      <c r="AY79" s="140" t="s">
        <v>439</v>
      </c>
      <c r="AZ79" s="140" t="s">
        <v>161</v>
      </c>
      <c r="BA79" s="136" t="s">
        <v>162</v>
      </c>
      <c r="BC79" s="139">
        <f t="shared" si="39"/>
        <v>0</v>
      </c>
      <c r="BD79" s="139">
        <f t="shared" si="40"/>
        <v>0</v>
      </c>
      <c r="BE79" s="139">
        <v>0</v>
      </c>
      <c r="BF79" s="139">
        <f>79</f>
        <v>79</v>
      </c>
      <c r="BH79" s="139">
        <f t="shared" si="41"/>
        <v>0</v>
      </c>
      <c r="BI79" s="139">
        <f t="shared" si="42"/>
        <v>0</v>
      </c>
      <c r="BJ79" s="139">
        <f t="shared" si="43"/>
        <v>0</v>
      </c>
    </row>
    <row r="80" spans="1:62" ht="15">
      <c r="A80" s="138" t="s">
        <v>261</v>
      </c>
      <c r="B80" s="138" t="s">
        <v>1042</v>
      </c>
      <c r="C80" s="920" t="s">
        <v>2002</v>
      </c>
      <c r="D80" s="911"/>
      <c r="E80" s="911"/>
      <c r="F80" s="138" t="s">
        <v>253</v>
      </c>
      <c r="G80" s="139">
        <v>717</v>
      </c>
      <c r="H80" s="577">
        <v>0</v>
      </c>
      <c r="I80" s="139">
        <f t="shared" si="22"/>
        <v>0</v>
      </c>
      <c r="J80" s="139">
        <f t="shared" si="23"/>
        <v>0</v>
      </c>
      <c r="K80" s="139">
        <f t="shared" si="24"/>
        <v>0</v>
      </c>
      <c r="L80" s="140" t="s">
        <v>110</v>
      </c>
      <c r="Z80" s="139">
        <f t="shared" si="25"/>
        <v>0</v>
      </c>
      <c r="AB80" s="139">
        <f t="shared" si="26"/>
        <v>0</v>
      </c>
      <c r="AC80" s="139">
        <f t="shared" si="27"/>
        <v>0</v>
      </c>
      <c r="AD80" s="139">
        <f t="shared" si="28"/>
        <v>0</v>
      </c>
      <c r="AE80" s="139">
        <f t="shared" si="29"/>
        <v>0</v>
      </c>
      <c r="AF80" s="139">
        <f t="shared" si="30"/>
        <v>0</v>
      </c>
      <c r="AG80" s="139">
        <f t="shared" si="31"/>
        <v>0</v>
      </c>
      <c r="AH80" s="139">
        <f t="shared" si="32"/>
        <v>0</v>
      </c>
      <c r="AI80" s="136" t="s">
        <v>157</v>
      </c>
      <c r="AJ80" s="139">
        <f t="shared" si="33"/>
        <v>0</v>
      </c>
      <c r="AK80" s="139">
        <f t="shared" si="34"/>
        <v>0</v>
      </c>
      <c r="AL80" s="139">
        <f t="shared" si="35"/>
        <v>0</v>
      </c>
      <c r="AN80" s="139">
        <v>21</v>
      </c>
      <c r="AO80" s="139">
        <f>H80*0</f>
        <v>0</v>
      </c>
      <c r="AP80" s="139">
        <f>H80*(1-0)</f>
        <v>0</v>
      </c>
      <c r="AQ80" s="140" t="s">
        <v>114</v>
      </c>
      <c r="AV80" s="139">
        <f t="shared" si="36"/>
        <v>0</v>
      </c>
      <c r="AW80" s="139">
        <f t="shared" si="37"/>
        <v>0</v>
      </c>
      <c r="AX80" s="139">
        <f t="shared" si="38"/>
        <v>0</v>
      </c>
      <c r="AY80" s="140" t="s">
        <v>439</v>
      </c>
      <c r="AZ80" s="140" t="s">
        <v>161</v>
      </c>
      <c r="BA80" s="136" t="s">
        <v>162</v>
      </c>
      <c r="BC80" s="139">
        <f t="shared" si="39"/>
        <v>0</v>
      </c>
      <c r="BD80" s="139">
        <f t="shared" si="40"/>
        <v>0</v>
      </c>
      <c r="BE80" s="139">
        <v>0</v>
      </c>
      <c r="BF80" s="139">
        <f>80</f>
        <v>80</v>
      </c>
      <c r="BH80" s="139">
        <f t="shared" si="41"/>
        <v>0</v>
      </c>
      <c r="BI80" s="139">
        <f t="shared" si="42"/>
        <v>0</v>
      </c>
      <c r="BJ80" s="139">
        <f t="shared" si="43"/>
        <v>0</v>
      </c>
    </row>
    <row r="81" spans="1:62" ht="15">
      <c r="A81" s="138" t="s">
        <v>263</v>
      </c>
      <c r="B81" s="138" t="s">
        <v>2003</v>
      </c>
      <c r="C81" s="920" t="s">
        <v>2004</v>
      </c>
      <c r="D81" s="911"/>
      <c r="E81" s="911"/>
      <c r="F81" s="138" t="s">
        <v>109</v>
      </c>
      <c r="G81" s="139">
        <v>5691</v>
      </c>
      <c r="H81" s="577">
        <v>0</v>
      </c>
      <c r="I81" s="139">
        <f t="shared" si="22"/>
        <v>0</v>
      </c>
      <c r="J81" s="139">
        <f t="shared" si="23"/>
        <v>0</v>
      </c>
      <c r="K81" s="139">
        <f t="shared" si="24"/>
        <v>0</v>
      </c>
      <c r="L81" s="140" t="s">
        <v>110</v>
      </c>
      <c r="Z81" s="139">
        <f t="shared" si="25"/>
        <v>0</v>
      </c>
      <c r="AB81" s="139">
        <f t="shared" si="26"/>
        <v>0</v>
      </c>
      <c r="AC81" s="139">
        <f t="shared" si="27"/>
        <v>0</v>
      </c>
      <c r="AD81" s="139">
        <f t="shared" si="28"/>
        <v>0</v>
      </c>
      <c r="AE81" s="139">
        <f t="shared" si="29"/>
        <v>0</v>
      </c>
      <c r="AF81" s="139">
        <f t="shared" si="30"/>
        <v>0</v>
      </c>
      <c r="AG81" s="139">
        <f t="shared" si="31"/>
        <v>0</v>
      </c>
      <c r="AH81" s="139">
        <f t="shared" si="32"/>
        <v>0</v>
      </c>
      <c r="AI81" s="136" t="s">
        <v>157</v>
      </c>
      <c r="AJ81" s="139">
        <f t="shared" si="33"/>
        <v>0</v>
      </c>
      <c r="AK81" s="139">
        <f t="shared" si="34"/>
        <v>0</v>
      </c>
      <c r="AL81" s="139">
        <f t="shared" si="35"/>
        <v>0</v>
      </c>
      <c r="AN81" s="139">
        <v>21</v>
      </c>
      <c r="AO81" s="139">
        <f>H81*0</f>
        <v>0</v>
      </c>
      <c r="AP81" s="139">
        <f>H81*(1-0)</f>
        <v>0</v>
      </c>
      <c r="AQ81" s="140" t="s">
        <v>106</v>
      </c>
      <c r="AV81" s="139">
        <f t="shared" si="36"/>
        <v>0</v>
      </c>
      <c r="AW81" s="139">
        <f t="shared" si="37"/>
        <v>0</v>
      </c>
      <c r="AX81" s="139">
        <f t="shared" si="38"/>
        <v>0</v>
      </c>
      <c r="AY81" s="140" t="s">
        <v>439</v>
      </c>
      <c r="AZ81" s="140" t="s">
        <v>161</v>
      </c>
      <c r="BA81" s="136" t="s">
        <v>162</v>
      </c>
      <c r="BC81" s="139">
        <f t="shared" si="39"/>
        <v>0</v>
      </c>
      <c r="BD81" s="139">
        <f t="shared" si="40"/>
        <v>0</v>
      </c>
      <c r="BE81" s="139">
        <v>0</v>
      </c>
      <c r="BF81" s="139">
        <f>81</f>
        <v>81</v>
      </c>
      <c r="BH81" s="139">
        <f t="shared" si="41"/>
        <v>0</v>
      </c>
      <c r="BI81" s="139">
        <f t="shared" si="42"/>
        <v>0</v>
      </c>
      <c r="BJ81" s="139">
        <f t="shared" si="43"/>
        <v>0</v>
      </c>
    </row>
    <row r="82" spans="1:62" ht="15">
      <c r="A82" s="138" t="s">
        <v>268</v>
      </c>
      <c r="B82" s="138" t="s">
        <v>1134</v>
      </c>
      <c r="C82" s="920" t="s">
        <v>1135</v>
      </c>
      <c r="D82" s="911"/>
      <c r="E82" s="911"/>
      <c r="F82" s="138" t="s">
        <v>109</v>
      </c>
      <c r="G82" s="139">
        <v>11382</v>
      </c>
      <c r="H82" s="577">
        <v>0</v>
      </c>
      <c r="I82" s="139">
        <f t="shared" si="22"/>
        <v>0</v>
      </c>
      <c r="J82" s="139">
        <f t="shared" si="23"/>
        <v>0</v>
      </c>
      <c r="K82" s="139">
        <f t="shared" si="24"/>
        <v>0</v>
      </c>
      <c r="L82" s="140" t="s">
        <v>110</v>
      </c>
      <c r="Z82" s="139">
        <f t="shared" si="25"/>
        <v>0</v>
      </c>
      <c r="AB82" s="139">
        <f t="shared" si="26"/>
        <v>0</v>
      </c>
      <c r="AC82" s="139">
        <f t="shared" si="27"/>
        <v>0</v>
      </c>
      <c r="AD82" s="139">
        <f t="shared" si="28"/>
        <v>0</v>
      </c>
      <c r="AE82" s="139">
        <f t="shared" si="29"/>
        <v>0</v>
      </c>
      <c r="AF82" s="139">
        <f t="shared" si="30"/>
        <v>0</v>
      </c>
      <c r="AG82" s="139">
        <f t="shared" si="31"/>
        <v>0</v>
      </c>
      <c r="AH82" s="139">
        <f t="shared" si="32"/>
        <v>0</v>
      </c>
      <c r="AI82" s="136" t="s">
        <v>157</v>
      </c>
      <c r="AJ82" s="139">
        <f t="shared" si="33"/>
        <v>0</v>
      </c>
      <c r="AK82" s="139">
        <f t="shared" si="34"/>
        <v>0</v>
      </c>
      <c r="AL82" s="139">
        <f t="shared" si="35"/>
        <v>0</v>
      </c>
      <c r="AN82" s="139">
        <v>21</v>
      </c>
      <c r="AO82" s="139">
        <f>H82*0</f>
        <v>0</v>
      </c>
      <c r="AP82" s="139">
        <f>H82*(1-0)</f>
        <v>0</v>
      </c>
      <c r="AQ82" s="140" t="s">
        <v>106</v>
      </c>
      <c r="AV82" s="139">
        <f t="shared" si="36"/>
        <v>0</v>
      </c>
      <c r="AW82" s="139">
        <f t="shared" si="37"/>
        <v>0</v>
      </c>
      <c r="AX82" s="139">
        <f t="shared" si="38"/>
        <v>0</v>
      </c>
      <c r="AY82" s="140" t="s">
        <v>439</v>
      </c>
      <c r="AZ82" s="140" t="s">
        <v>161</v>
      </c>
      <c r="BA82" s="136" t="s">
        <v>162</v>
      </c>
      <c r="BC82" s="139">
        <f t="shared" si="39"/>
        <v>0</v>
      </c>
      <c r="BD82" s="139">
        <f t="shared" si="40"/>
        <v>0</v>
      </c>
      <c r="BE82" s="139">
        <v>0</v>
      </c>
      <c r="BF82" s="139">
        <f>82</f>
        <v>82</v>
      </c>
      <c r="BH82" s="139">
        <f t="shared" si="41"/>
        <v>0</v>
      </c>
      <c r="BI82" s="139">
        <f t="shared" si="42"/>
        <v>0</v>
      </c>
      <c r="BJ82" s="139">
        <f t="shared" si="43"/>
        <v>0</v>
      </c>
    </row>
    <row r="83" spans="1:62" ht="15">
      <c r="A83" s="138" t="s">
        <v>271</v>
      </c>
      <c r="B83" s="138" t="s">
        <v>1136</v>
      </c>
      <c r="C83" s="920" t="s">
        <v>1137</v>
      </c>
      <c r="D83" s="911"/>
      <c r="E83" s="911"/>
      <c r="F83" s="138" t="s">
        <v>109</v>
      </c>
      <c r="G83" s="139">
        <v>5691</v>
      </c>
      <c r="H83" s="577">
        <v>0</v>
      </c>
      <c r="I83" s="139">
        <f t="shared" si="22"/>
        <v>0</v>
      </c>
      <c r="J83" s="139">
        <f t="shared" si="23"/>
        <v>0</v>
      </c>
      <c r="K83" s="139">
        <f t="shared" si="24"/>
        <v>0</v>
      </c>
      <c r="L83" s="140" t="s">
        <v>110</v>
      </c>
      <c r="Z83" s="139">
        <f t="shared" si="25"/>
        <v>0</v>
      </c>
      <c r="AB83" s="139">
        <f t="shared" si="26"/>
        <v>0</v>
      </c>
      <c r="AC83" s="139">
        <f t="shared" si="27"/>
        <v>0</v>
      </c>
      <c r="AD83" s="139">
        <f t="shared" si="28"/>
        <v>0</v>
      </c>
      <c r="AE83" s="139">
        <f t="shared" si="29"/>
        <v>0</v>
      </c>
      <c r="AF83" s="139">
        <f t="shared" si="30"/>
        <v>0</v>
      </c>
      <c r="AG83" s="139">
        <f t="shared" si="31"/>
        <v>0</v>
      </c>
      <c r="AH83" s="139">
        <f t="shared" si="32"/>
        <v>0</v>
      </c>
      <c r="AI83" s="136" t="s">
        <v>157</v>
      </c>
      <c r="AJ83" s="139">
        <f t="shared" si="33"/>
        <v>0</v>
      </c>
      <c r="AK83" s="139">
        <f t="shared" si="34"/>
        <v>0</v>
      </c>
      <c r="AL83" s="139">
        <f t="shared" si="35"/>
        <v>0</v>
      </c>
      <c r="AN83" s="139">
        <v>21</v>
      </c>
      <c r="AO83" s="139">
        <f>H83*0.0720190779014308</f>
        <v>0</v>
      </c>
      <c r="AP83" s="139">
        <f>H83*(1-0.0720190779014308)</f>
        <v>0</v>
      </c>
      <c r="AQ83" s="140" t="s">
        <v>106</v>
      </c>
      <c r="AV83" s="139">
        <f t="shared" si="36"/>
        <v>0</v>
      </c>
      <c r="AW83" s="139">
        <f t="shared" si="37"/>
        <v>0</v>
      </c>
      <c r="AX83" s="139">
        <f t="shared" si="38"/>
        <v>0</v>
      </c>
      <c r="AY83" s="140" t="s">
        <v>439</v>
      </c>
      <c r="AZ83" s="140" t="s">
        <v>161</v>
      </c>
      <c r="BA83" s="136" t="s">
        <v>162</v>
      </c>
      <c r="BC83" s="139">
        <f t="shared" si="39"/>
        <v>0</v>
      </c>
      <c r="BD83" s="139">
        <f t="shared" si="40"/>
        <v>0</v>
      </c>
      <c r="BE83" s="139">
        <v>0</v>
      </c>
      <c r="BF83" s="139">
        <f>83</f>
        <v>83</v>
      </c>
      <c r="BH83" s="139">
        <f t="shared" si="41"/>
        <v>0</v>
      </c>
      <c r="BI83" s="139">
        <f t="shared" si="42"/>
        <v>0</v>
      </c>
      <c r="BJ83" s="139">
        <f t="shared" si="43"/>
        <v>0</v>
      </c>
    </row>
    <row r="84" spans="1:62" ht="15">
      <c r="A84" s="138" t="s">
        <v>273</v>
      </c>
      <c r="B84" s="138" t="s">
        <v>1162</v>
      </c>
      <c r="C84" s="920" t="s">
        <v>2005</v>
      </c>
      <c r="D84" s="911"/>
      <c r="E84" s="911"/>
      <c r="F84" s="138" t="s">
        <v>253</v>
      </c>
      <c r="G84" s="139">
        <v>30</v>
      </c>
      <c r="H84" s="577">
        <v>0</v>
      </c>
      <c r="I84" s="139">
        <f t="shared" si="22"/>
        <v>0</v>
      </c>
      <c r="J84" s="139">
        <f t="shared" si="23"/>
        <v>0</v>
      </c>
      <c r="K84" s="139">
        <f t="shared" si="24"/>
        <v>0</v>
      </c>
      <c r="L84" s="140" t="s">
        <v>110</v>
      </c>
      <c r="Z84" s="139">
        <f t="shared" si="25"/>
        <v>0</v>
      </c>
      <c r="AB84" s="139">
        <f t="shared" si="26"/>
        <v>0</v>
      </c>
      <c r="AC84" s="139">
        <f t="shared" si="27"/>
        <v>0</v>
      </c>
      <c r="AD84" s="139">
        <f t="shared" si="28"/>
        <v>0</v>
      </c>
      <c r="AE84" s="139">
        <f t="shared" si="29"/>
        <v>0</v>
      </c>
      <c r="AF84" s="139">
        <f t="shared" si="30"/>
        <v>0</v>
      </c>
      <c r="AG84" s="139">
        <f t="shared" si="31"/>
        <v>0</v>
      </c>
      <c r="AH84" s="139">
        <f t="shared" si="32"/>
        <v>0</v>
      </c>
      <c r="AI84" s="136" t="s">
        <v>157</v>
      </c>
      <c r="AJ84" s="139">
        <f t="shared" si="33"/>
        <v>0</v>
      </c>
      <c r="AK84" s="139">
        <f t="shared" si="34"/>
        <v>0</v>
      </c>
      <c r="AL84" s="139">
        <f t="shared" si="35"/>
        <v>0</v>
      </c>
      <c r="AN84" s="139">
        <v>21</v>
      </c>
      <c r="AO84" s="139">
        <f>H84*0.760496439010998</f>
        <v>0</v>
      </c>
      <c r="AP84" s="139">
        <f>H84*(1-0.760496439010998)</f>
        <v>0</v>
      </c>
      <c r="AQ84" s="140" t="s">
        <v>114</v>
      </c>
      <c r="AV84" s="139">
        <f t="shared" si="36"/>
        <v>0</v>
      </c>
      <c r="AW84" s="139">
        <f t="shared" si="37"/>
        <v>0</v>
      </c>
      <c r="AX84" s="139">
        <f t="shared" si="38"/>
        <v>0</v>
      </c>
      <c r="AY84" s="140" t="s">
        <v>439</v>
      </c>
      <c r="AZ84" s="140" t="s">
        <v>161</v>
      </c>
      <c r="BA84" s="136" t="s">
        <v>162</v>
      </c>
      <c r="BC84" s="139">
        <f t="shared" si="39"/>
        <v>0</v>
      </c>
      <c r="BD84" s="139">
        <f t="shared" si="40"/>
        <v>0</v>
      </c>
      <c r="BE84" s="139">
        <v>0</v>
      </c>
      <c r="BF84" s="139">
        <f>84</f>
        <v>84</v>
      </c>
      <c r="BH84" s="139">
        <f t="shared" si="41"/>
        <v>0</v>
      </c>
      <c r="BI84" s="139">
        <f t="shared" si="42"/>
        <v>0</v>
      </c>
      <c r="BJ84" s="139">
        <f t="shared" si="43"/>
        <v>0</v>
      </c>
    </row>
    <row r="85" spans="1:47" ht="15">
      <c r="A85" s="156"/>
      <c r="B85" s="157" t="s">
        <v>314</v>
      </c>
      <c r="C85" s="932" t="s">
        <v>327</v>
      </c>
      <c r="D85" s="933"/>
      <c r="E85" s="933"/>
      <c r="F85" s="156" t="s">
        <v>70</v>
      </c>
      <c r="G85" s="156" t="s">
        <v>70</v>
      </c>
      <c r="H85" s="156" t="s">
        <v>70</v>
      </c>
      <c r="I85" s="158">
        <f>SUM(I86:I86)</f>
        <v>0</v>
      </c>
      <c r="J85" s="158">
        <f>SUM(J86:J86)</f>
        <v>0</v>
      </c>
      <c r="K85" s="158">
        <f>SUM(K86:K86)</f>
        <v>0</v>
      </c>
      <c r="L85" s="159"/>
      <c r="AI85" s="136" t="s">
        <v>157</v>
      </c>
      <c r="AS85" s="137">
        <f>SUM(AJ86:AJ86)</f>
        <v>0</v>
      </c>
      <c r="AT85" s="137">
        <f>SUM(AK86:AK86)</f>
        <v>0</v>
      </c>
      <c r="AU85" s="137">
        <f>SUM(AL86:AL86)</f>
        <v>0</v>
      </c>
    </row>
    <row r="86" spans="1:62" ht="15">
      <c r="A86" s="138" t="s">
        <v>276</v>
      </c>
      <c r="B86" s="138" t="s">
        <v>335</v>
      </c>
      <c r="C86" s="920" t="s">
        <v>1063</v>
      </c>
      <c r="D86" s="911"/>
      <c r="E86" s="911"/>
      <c r="F86" s="138" t="s">
        <v>337</v>
      </c>
      <c r="G86" s="139">
        <v>11340</v>
      </c>
      <c r="H86" s="577">
        <v>0</v>
      </c>
      <c r="I86" s="139">
        <f>G86*AO86</f>
        <v>0</v>
      </c>
      <c r="J86" s="139">
        <f>G86*AP86</f>
        <v>0</v>
      </c>
      <c r="K86" s="139">
        <f>G86*H86</f>
        <v>0</v>
      </c>
      <c r="L86" s="140"/>
      <c r="Z86" s="139">
        <f>IF(AQ86="5",BJ86,0)</f>
        <v>0</v>
      </c>
      <c r="AB86" s="139">
        <f>IF(AQ86="1",BH86,0)</f>
        <v>0</v>
      </c>
      <c r="AC86" s="139">
        <f>IF(AQ86="1",BI86,0)</f>
        <v>0</v>
      </c>
      <c r="AD86" s="139">
        <f>IF(AQ86="7",BH86,0)</f>
        <v>0</v>
      </c>
      <c r="AE86" s="139">
        <f>IF(AQ86="7",BI86,0)</f>
        <v>0</v>
      </c>
      <c r="AF86" s="139">
        <f>IF(AQ86="2",BH86,0)</f>
        <v>0</v>
      </c>
      <c r="AG86" s="139">
        <f>IF(AQ86="2",BI86,0)</f>
        <v>0</v>
      </c>
      <c r="AH86" s="139">
        <f>IF(AQ86="0",BJ86,0)</f>
        <v>0</v>
      </c>
      <c r="AI86" s="136" t="s">
        <v>157</v>
      </c>
      <c r="AJ86" s="139">
        <f>IF(AN86=0,K86,0)</f>
        <v>0</v>
      </c>
      <c r="AK86" s="139">
        <f>IF(AN86=15,K86,0)</f>
        <v>0</v>
      </c>
      <c r="AL86" s="139">
        <f>IF(AN86=21,K86,0)</f>
        <v>0</v>
      </c>
      <c r="AN86" s="139">
        <v>21</v>
      </c>
      <c r="AO86" s="139">
        <f>H86*0</f>
        <v>0</v>
      </c>
      <c r="AP86" s="139">
        <f>H86*(1-0)</f>
        <v>0</v>
      </c>
      <c r="AQ86" s="140" t="s">
        <v>124</v>
      </c>
      <c r="AV86" s="139">
        <f>AW86+AX86</f>
        <v>0</v>
      </c>
      <c r="AW86" s="139">
        <f>G86*AO86</f>
        <v>0</v>
      </c>
      <c r="AX86" s="139">
        <f>G86*AP86</f>
        <v>0</v>
      </c>
      <c r="AY86" s="140" t="s">
        <v>331</v>
      </c>
      <c r="AZ86" s="140" t="s">
        <v>1064</v>
      </c>
      <c r="BA86" s="136" t="s">
        <v>162</v>
      </c>
      <c r="BC86" s="139">
        <f>AW86+AX86</f>
        <v>0</v>
      </c>
      <c r="BD86" s="139">
        <f>H86/(100-BE86)*100</f>
        <v>0</v>
      </c>
      <c r="BE86" s="139">
        <v>0</v>
      </c>
      <c r="BF86" s="139">
        <f>86</f>
        <v>86</v>
      </c>
      <c r="BH86" s="139">
        <f>G86*AO86</f>
        <v>0</v>
      </c>
      <c r="BI86" s="139">
        <f>G86*AP86</f>
        <v>0</v>
      </c>
      <c r="BJ86" s="139">
        <f>G86*H86</f>
        <v>0</v>
      </c>
    </row>
    <row r="87" spans="2:12" ht="64.05" customHeight="1">
      <c r="B87" s="141" t="s">
        <v>67</v>
      </c>
      <c r="C87" s="939" t="s">
        <v>2006</v>
      </c>
      <c r="D87" s="940"/>
      <c r="E87" s="940"/>
      <c r="F87" s="940"/>
      <c r="G87" s="940"/>
      <c r="H87" s="940"/>
      <c r="I87" s="940"/>
      <c r="J87" s="940"/>
      <c r="K87" s="940"/>
      <c r="L87" s="940"/>
    </row>
    <row r="88" spans="1:47" ht="15">
      <c r="A88" s="156"/>
      <c r="B88" s="157" t="s">
        <v>345</v>
      </c>
      <c r="C88" s="932" t="s">
        <v>346</v>
      </c>
      <c r="D88" s="933"/>
      <c r="E88" s="933"/>
      <c r="F88" s="156" t="s">
        <v>70</v>
      </c>
      <c r="G88" s="156" t="s">
        <v>70</v>
      </c>
      <c r="H88" s="156" t="s">
        <v>70</v>
      </c>
      <c r="I88" s="158">
        <f>SUM(I89:I89)</f>
        <v>0</v>
      </c>
      <c r="J88" s="158">
        <f>SUM(J89:J89)</f>
        <v>0</v>
      </c>
      <c r="K88" s="158">
        <f>SUM(K89:K89)</f>
        <v>0</v>
      </c>
      <c r="L88" s="159"/>
      <c r="AI88" s="136" t="s">
        <v>157</v>
      </c>
      <c r="AS88" s="137">
        <f>SUM(AJ89:AJ89)</f>
        <v>0</v>
      </c>
      <c r="AT88" s="137">
        <f>SUM(AK89:AK89)</f>
        <v>0</v>
      </c>
      <c r="AU88" s="137">
        <f>SUM(AL89:AL89)</f>
        <v>0</v>
      </c>
    </row>
    <row r="89" spans="1:62" ht="15">
      <c r="A89" s="138" t="s">
        <v>279</v>
      </c>
      <c r="B89" s="138" t="s">
        <v>684</v>
      </c>
      <c r="C89" s="920" t="s">
        <v>685</v>
      </c>
      <c r="D89" s="911"/>
      <c r="E89" s="911"/>
      <c r="F89" s="138" t="s">
        <v>132</v>
      </c>
      <c r="G89" s="139">
        <v>926.6</v>
      </c>
      <c r="H89" s="577">
        <v>0</v>
      </c>
      <c r="I89" s="139">
        <f>G89*AO89</f>
        <v>0</v>
      </c>
      <c r="J89" s="139">
        <f>G89*AP89</f>
        <v>0</v>
      </c>
      <c r="K89" s="139">
        <f>G89*H89</f>
        <v>0</v>
      </c>
      <c r="L89" s="140" t="s">
        <v>110</v>
      </c>
      <c r="Z89" s="139">
        <f>IF(AQ89="5",BJ89,0)</f>
        <v>0</v>
      </c>
      <c r="AB89" s="139">
        <f>IF(AQ89="1",BH89,0)</f>
        <v>0</v>
      </c>
      <c r="AC89" s="139">
        <f>IF(AQ89="1",BI89,0)</f>
        <v>0</v>
      </c>
      <c r="AD89" s="139">
        <f>IF(AQ89="7",BH89,0)</f>
        <v>0</v>
      </c>
      <c r="AE89" s="139">
        <f>IF(AQ89="7",BI89,0)</f>
        <v>0</v>
      </c>
      <c r="AF89" s="139">
        <f>IF(AQ89="2",BH89,0)</f>
        <v>0</v>
      </c>
      <c r="AG89" s="139">
        <f>IF(AQ89="2",BI89,0)</f>
        <v>0</v>
      </c>
      <c r="AH89" s="139">
        <f>IF(AQ89="0",BJ89,0)</f>
        <v>0</v>
      </c>
      <c r="AI89" s="136" t="s">
        <v>157</v>
      </c>
      <c r="AJ89" s="139">
        <f>IF(AN89=0,K89,0)</f>
        <v>0</v>
      </c>
      <c r="AK89" s="139">
        <f>IF(AN89=15,K89,0)</f>
        <v>0</v>
      </c>
      <c r="AL89" s="139">
        <f>IF(AN89=21,K89,0)</f>
        <v>0</v>
      </c>
      <c r="AN89" s="139">
        <v>21</v>
      </c>
      <c r="AO89" s="139">
        <f>H89*0</f>
        <v>0</v>
      </c>
      <c r="AP89" s="139">
        <f>H89*(1-0)</f>
        <v>0</v>
      </c>
      <c r="AQ89" s="140" t="s">
        <v>124</v>
      </c>
      <c r="AV89" s="139">
        <f>AW89+AX89</f>
        <v>0</v>
      </c>
      <c r="AW89" s="139">
        <f>G89*AO89</f>
        <v>0</v>
      </c>
      <c r="AX89" s="139">
        <f>G89*AP89</f>
        <v>0</v>
      </c>
      <c r="AY89" s="140" t="s">
        <v>350</v>
      </c>
      <c r="AZ89" s="140" t="s">
        <v>167</v>
      </c>
      <c r="BA89" s="136" t="s">
        <v>162</v>
      </c>
      <c r="BC89" s="139">
        <f>AW89+AX89</f>
        <v>0</v>
      </c>
      <c r="BD89" s="139">
        <f>H89/(100-BE89)*100</f>
        <v>0</v>
      </c>
      <c r="BE89" s="139">
        <v>0</v>
      </c>
      <c r="BF89" s="139">
        <f>89</f>
        <v>89</v>
      </c>
      <c r="BH89" s="139">
        <f>G89*AO89</f>
        <v>0</v>
      </c>
      <c r="BI89" s="139">
        <f>G89*AP89</f>
        <v>0</v>
      </c>
      <c r="BJ89" s="139">
        <f>G89*H89</f>
        <v>0</v>
      </c>
    </row>
    <row r="90" spans="1:47" ht="15">
      <c r="A90" s="156"/>
      <c r="B90" s="157"/>
      <c r="C90" s="932" t="s">
        <v>52</v>
      </c>
      <c r="D90" s="933"/>
      <c r="E90" s="933"/>
      <c r="F90" s="156" t="s">
        <v>70</v>
      </c>
      <c r="G90" s="156" t="s">
        <v>70</v>
      </c>
      <c r="H90" s="156" t="s">
        <v>70</v>
      </c>
      <c r="I90" s="158">
        <f>SUM(I91:I96)</f>
        <v>0</v>
      </c>
      <c r="J90" s="158">
        <f>SUM(J91:J96)</f>
        <v>0</v>
      </c>
      <c r="K90" s="158">
        <f>SUM(K91:K96)</f>
        <v>0</v>
      </c>
      <c r="L90" s="159"/>
      <c r="AI90" s="136" t="s">
        <v>157</v>
      </c>
      <c r="AS90" s="137">
        <f>SUM(AJ91:AJ96)</f>
        <v>0</v>
      </c>
      <c r="AT90" s="137">
        <f>SUM(AK91:AK96)</f>
        <v>0</v>
      </c>
      <c r="AU90" s="137">
        <f>SUM(AL91:AL96)</f>
        <v>0</v>
      </c>
    </row>
    <row r="91" spans="1:62" ht="15">
      <c r="A91" s="138" t="s">
        <v>286</v>
      </c>
      <c r="B91" s="138" t="s">
        <v>1138</v>
      </c>
      <c r="C91" s="920" t="s">
        <v>1139</v>
      </c>
      <c r="D91" s="911"/>
      <c r="E91" s="911"/>
      <c r="F91" s="138" t="s">
        <v>407</v>
      </c>
      <c r="G91" s="139">
        <v>142</v>
      </c>
      <c r="H91" s="577">
        <v>0</v>
      </c>
      <c r="I91" s="139">
        <f>G91*AO91</f>
        <v>0</v>
      </c>
      <c r="J91" s="139">
        <f>G91*AP91</f>
        <v>0</v>
      </c>
      <c r="K91" s="139">
        <f>G91*H91</f>
        <v>0</v>
      </c>
      <c r="L91" s="140"/>
      <c r="Z91" s="139">
        <f>IF(AQ91="5",BJ91,0)</f>
        <v>0</v>
      </c>
      <c r="AB91" s="139">
        <f>IF(AQ91="1",BH91,0)</f>
        <v>0</v>
      </c>
      <c r="AC91" s="139">
        <f>IF(AQ91="1",BI91,0)</f>
        <v>0</v>
      </c>
      <c r="AD91" s="139">
        <f>IF(AQ91="7",BH91,0)</f>
        <v>0</v>
      </c>
      <c r="AE91" s="139">
        <f>IF(AQ91="7",BI91,0)</f>
        <v>0</v>
      </c>
      <c r="AF91" s="139">
        <f>IF(AQ91="2",BH91,0)</f>
        <v>0</v>
      </c>
      <c r="AG91" s="139">
        <f>IF(AQ91="2",BI91,0)</f>
        <v>0</v>
      </c>
      <c r="AH91" s="139">
        <f>IF(AQ91="0",BJ91,0)</f>
        <v>0</v>
      </c>
      <c r="AI91" s="136" t="s">
        <v>157</v>
      </c>
      <c r="AJ91" s="139">
        <f>IF(AN91=0,K91,0)</f>
        <v>0</v>
      </c>
      <c r="AK91" s="139">
        <f>IF(AN91=15,K91,0)</f>
        <v>0</v>
      </c>
      <c r="AL91" s="139">
        <f>IF(AN91=21,K91,0)</f>
        <v>0</v>
      </c>
      <c r="AN91" s="139">
        <v>21</v>
      </c>
      <c r="AO91" s="139">
        <f>H91*1</f>
        <v>0</v>
      </c>
      <c r="AP91" s="139">
        <f>H91*(1-1)</f>
        <v>0</v>
      </c>
      <c r="AQ91" s="140" t="s">
        <v>355</v>
      </c>
      <c r="AV91" s="139">
        <f>AW91+AX91</f>
        <v>0</v>
      </c>
      <c r="AW91" s="139">
        <f>G91*AO91</f>
        <v>0</v>
      </c>
      <c r="AX91" s="139">
        <f>G91*AP91</f>
        <v>0</v>
      </c>
      <c r="AY91" s="140" t="s">
        <v>356</v>
      </c>
      <c r="AZ91" s="140" t="s">
        <v>1067</v>
      </c>
      <c r="BA91" s="136" t="s">
        <v>162</v>
      </c>
      <c r="BC91" s="139">
        <f>AW91+AX91</f>
        <v>0</v>
      </c>
      <c r="BD91" s="139">
        <f>H91/(100-BE91)*100</f>
        <v>0</v>
      </c>
      <c r="BE91" s="139">
        <v>0</v>
      </c>
      <c r="BF91" s="139">
        <f>91</f>
        <v>91</v>
      </c>
      <c r="BH91" s="139">
        <f>G91*AO91</f>
        <v>0</v>
      </c>
      <c r="BI91" s="139">
        <f>G91*AP91</f>
        <v>0</v>
      </c>
      <c r="BJ91" s="139">
        <f>G91*H91</f>
        <v>0</v>
      </c>
    </row>
    <row r="92" spans="1:62" ht="15">
      <c r="A92" s="138" t="s">
        <v>290</v>
      </c>
      <c r="B92" s="138" t="s">
        <v>1069</v>
      </c>
      <c r="C92" s="920" t="s">
        <v>1070</v>
      </c>
      <c r="D92" s="911"/>
      <c r="E92" s="911"/>
      <c r="F92" s="138" t="s">
        <v>1071</v>
      </c>
      <c r="G92" s="139">
        <v>3</v>
      </c>
      <c r="H92" s="577">
        <v>0</v>
      </c>
      <c r="I92" s="139">
        <f>G92*AO92</f>
        <v>0</v>
      </c>
      <c r="J92" s="139">
        <f>G92*AP92</f>
        <v>0</v>
      </c>
      <c r="K92" s="139">
        <f>G92*H92</f>
        <v>0</v>
      </c>
      <c r="L92" s="140"/>
      <c r="Z92" s="139">
        <f>IF(AQ92="5",BJ92,0)</f>
        <v>0</v>
      </c>
      <c r="AB92" s="139">
        <f>IF(AQ92="1",BH92,0)</f>
        <v>0</v>
      </c>
      <c r="AC92" s="139">
        <f>IF(AQ92="1",BI92,0)</f>
        <v>0</v>
      </c>
      <c r="AD92" s="139">
        <f>IF(AQ92="7",BH92,0)</f>
        <v>0</v>
      </c>
      <c r="AE92" s="139">
        <f>IF(AQ92="7",BI92,0)</f>
        <v>0</v>
      </c>
      <c r="AF92" s="139">
        <f>IF(AQ92="2",BH92,0)</f>
        <v>0</v>
      </c>
      <c r="AG92" s="139">
        <f>IF(AQ92="2",BI92,0)</f>
        <v>0</v>
      </c>
      <c r="AH92" s="139">
        <f>IF(AQ92="0",BJ92,0)</f>
        <v>0</v>
      </c>
      <c r="AI92" s="136" t="s">
        <v>157</v>
      </c>
      <c r="AJ92" s="139">
        <f>IF(AN92=0,K92,0)</f>
        <v>0</v>
      </c>
      <c r="AK92" s="139">
        <f>IF(AN92=15,K92,0)</f>
        <v>0</v>
      </c>
      <c r="AL92" s="139">
        <f>IF(AN92=21,K92,0)</f>
        <v>0</v>
      </c>
      <c r="AN92" s="139">
        <v>21</v>
      </c>
      <c r="AO92" s="139">
        <f>H92*1</f>
        <v>0</v>
      </c>
      <c r="AP92" s="139">
        <f>H92*(1-1)</f>
        <v>0</v>
      </c>
      <c r="AQ92" s="140" t="s">
        <v>355</v>
      </c>
      <c r="AV92" s="139">
        <f>AW92+AX92</f>
        <v>0</v>
      </c>
      <c r="AW92" s="139">
        <f>G92*AO92</f>
        <v>0</v>
      </c>
      <c r="AX92" s="139">
        <f>G92*AP92</f>
        <v>0</v>
      </c>
      <c r="AY92" s="140" t="s">
        <v>356</v>
      </c>
      <c r="AZ92" s="140" t="s">
        <v>1067</v>
      </c>
      <c r="BA92" s="136" t="s">
        <v>162</v>
      </c>
      <c r="BC92" s="139">
        <f>AW92+AX92</f>
        <v>0</v>
      </c>
      <c r="BD92" s="139">
        <f>H92/(100-BE92)*100</f>
        <v>0</v>
      </c>
      <c r="BE92" s="139">
        <v>0</v>
      </c>
      <c r="BF92" s="139">
        <f>92</f>
        <v>92</v>
      </c>
      <c r="BH92" s="139">
        <f>G92*AO92</f>
        <v>0</v>
      </c>
      <c r="BI92" s="139">
        <f>G92*AP92</f>
        <v>0</v>
      </c>
      <c r="BJ92" s="139">
        <f>G92*H92</f>
        <v>0</v>
      </c>
    </row>
    <row r="93" spans="1:62" ht="15">
      <c r="A93" s="138" t="s">
        <v>295</v>
      </c>
      <c r="B93" s="138" t="s">
        <v>1152</v>
      </c>
      <c r="C93" s="920" t="s">
        <v>1153</v>
      </c>
      <c r="D93" s="911"/>
      <c r="E93" s="911"/>
      <c r="F93" s="138" t="s">
        <v>407</v>
      </c>
      <c r="G93" s="139">
        <v>142</v>
      </c>
      <c r="H93" s="577">
        <v>0</v>
      </c>
      <c r="I93" s="139">
        <f>G93*AO93</f>
        <v>0</v>
      </c>
      <c r="J93" s="139">
        <f>G93*AP93</f>
        <v>0</v>
      </c>
      <c r="K93" s="139">
        <f>G93*H93</f>
        <v>0</v>
      </c>
      <c r="L93" s="140"/>
      <c r="Z93" s="139">
        <f>IF(AQ93="5",BJ93,0)</f>
        <v>0</v>
      </c>
      <c r="AB93" s="139">
        <f>IF(AQ93="1",BH93,0)</f>
        <v>0</v>
      </c>
      <c r="AC93" s="139">
        <f>IF(AQ93="1",BI93,0)</f>
        <v>0</v>
      </c>
      <c r="AD93" s="139">
        <f>IF(AQ93="7",BH93,0)</f>
        <v>0</v>
      </c>
      <c r="AE93" s="139">
        <f>IF(AQ93="7",BI93,0)</f>
        <v>0</v>
      </c>
      <c r="AF93" s="139">
        <f>IF(AQ93="2",BH93,0)</f>
        <v>0</v>
      </c>
      <c r="AG93" s="139">
        <f>IF(AQ93="2",BI93,0)</f>
        <v>0</v>
      </c>
      <c r="AH93" s="139">
        <f>IF(AQ93="0",BJ93,0)</f>
        <v>0</v>
      </c>
      <c r="AI93" s="136" t="s">
        <v>157</v>
      </c>
      <c r="AJ93" s="139">
        <f>IF(AN93=0,K93,0)</f>
        <v>0</v>
      </c>
      <c r="AK93" s="139">
        <f>IF(AN93=15,K93,0)</f>
        <v>0</v>
      </c>
      <c r="AL93" s="139">
        <f>IF(AN93=21,K93,0)</f>
        <v>0</v>
      </c>
      <c r="AN93" s="139">
        <v>21</v>
      </c>
      <c r="AO93" s="139">
        <f>H93*1</f>
        <v>0</v>
      </c>
      <c r="AP93" s="139">
        <f>H93*(1-1)</f>
        <v>0</v>
      </c>
      <c r="AQ93" s="140" t="s">
        <v>355</v>
      </c>
      <c r="AV93" s="139">
        <f>AW93+AX93</f>
        <v>0</v>
      </c>
      <c r="AW93" s="139">
        <f>G93*AO93</f>
        <v>0</v>
      </c>
      <c r="AX93" s="139">
        <f>G93*AP93</f>
        <v>0</v>
      </c>
      <c r="AY93" s="140" t="s">
        <v>356</v>
      </c>
      <c r="AZ93" s="140" t="s">
        <v>1067</v>
      </c>
      <c r="BA93" s="136" t="s">
        <v>162</v>
      </c>
      <c r="BC93" s="139">
        <f>AW93+AX93</f>
        <v>0</v>
      </c>
      <c r="BD93" s="139">
        <f>H93/(100-BE93)*100</f>
        <v>0</v>
      </c>
      <c r="BE93" s="139">
        <v>0</v>
      </c>
      <c r="BF93" s="139">
        <f>93</f>
        <v>93</v>
      </c>
      <c r="BH93" s="139">
        <f>G93*AO93</f>
        <v>0</v>
      </c>
      <c r="BI93" s="139">
        <f>G93*AP93</f>
        <v>0</v>
      </c>
      <c r="BJ93" s="139">
        <f>G93*H93</f>
        <v>0</v>
      </c>
    </row>
    <row r="94" spans="1:62" ht="15">
      <c r="A94" s="138" t="s">
        <v>298</v>
      </c>
      <c r="B94" s="138" t="s">
        <v>2007</v>
      </c>
      <c r="C94" s="920" t="s">
        <v>2008</v>
      </c>
      <c r="D94" s="911"/>
      <c r="E94" s="911"/>
      <c r="F94" s="138" t="s">
        <v>132</v>
      </c>
      <c r="G94" s="139">
        <v>51</v>
      </c>
      <c r="H94" s="577">
        <v>0</v>
      </c>
      <c r="I94" s="139">
        <f>G94*AO94</f>
        <v>0</v>
      </c>
      <c r="J94" s="139">
        <f>G94*AP94</f>
        <v>0</v>
      </c>
      <c r="K94" s="139">
        <f>G94*H94</f>
        <v>0</v>
      </c>
      <c r="L94" s="140" t="s">
        <v>120</v>
      </c>
      <c r="Z94" s="139">
        <f>IF(AQ94="5",BJ94,0)</f>
        <v>0</v>
      </c>
      <c r="AB94" s="139">
        <f>IF(AQ94="1",BH94,0)</f>
        <v>0</v>
      </c>
      <c r="AC94" s="139">
        <f>IF(AQ94="1",BI94,0)</f>
        <v>0</v>
      </c>
      <c r="AD94" s="139">
        <f>IF(AQ94="7",BH94,0)</f>
        <v>0</v>
      </c>
      <c r="AE94" s="139">
        <f>IF(AQ94="7",BI94,0)</f>
        <v>0</v>
      </c>
      <c r="AF94" s="139">
        <f>IF(AQ94="2",BH94,0)</f>
        <v>0</v>
      </c>
      <c r="AG94" s="139">
        <f>IF(AQ94="2",BI94,0)</f>
        <v>0</v>
      </c>
      <c r="AH94" s="139">
        <f>IF(AQ94="0",BJ94,0)</f>
        <v>0</v>
      </c>
      <c r="AI94" s="136" t="s">
        <v>157</v>
      </c>
      <c r="AJ94" s="139">
        <f>IF(AN94=0,K94,0)</f>
        <v>0</v>
      </c>
      <c r="AK94" s="139">
        <f>IF(AN94=15,K94,0)</f>
        <v>0</v>
      </c>
      <c r="AL94" s="139">
        <f>IF(AN94=21,K94,0)</f>
        <v>0</v>
      </c>
      <c r="AN94" s="139">
        <v>21</v>
      </c>
      <c r="AO94" s="139">
        <f>H94*1</f>
        <v>0</v>
      </c>
      <c r="AP94" s="139">
        <f>H94*(1-1)</f>
        <v>0</v>
      </c>
      <c r="AQ94" s="140" t="s">
        <v>355</v>
      </c>
      <c r="AV94" s="139">
        <f>AW94+AX94</f>
        <v>0</v>
      </c>
      <c r="AW94" s="139">
        <f>G94*AO94</f>
        <v>0</v>
      </c>
      <c r="AX94" s="139">
        <f>G94*AP94</f>
        <v>0</v>
      </c>
      <c r="AY94" s="140" t="s">
        <v>356</v>
      </c>
      <c r="AZ94" s="140" t="s">
        <v>1067</v>
      </c>
      <c r="BA94" s="136" t="s">
        <v>162</v>
      </c>
      <c r="BC94" s="139">
        <f>AW94+AX94</f>
        <v>0</v>
      </c>
      <c r="BD94" s="139">
        <f>H94/(100-BE94)*100</f>
        <v>0</v>
      </c>
      <c r="BE94" s="139">
        <v>0</v>
      </c>
      <c r="BF94" s="139">
        <f>94</f>
        <v>94</v>
      </c>
      <c r="BH94" s="139">
        <f>G94*AO94</f>
        <v>0</v>
      </c>
      <c r="BI94" s="139">
        <f>G94*AP94</f>
        <v>0</v>
      </c>
      <c r="BJ94" s="139">
        <f>G94*H94</f>
        <v>0</v>
      </c>
    </row>
    <row r="95" spans="2:12" ht="25.35" customHeight="1">
      <c r="B95" s="141" t="s">
        <v>67</v>
      </c>
      <c r="C95" s="939" t="s">
        <v>2009</v>
      </c>
      <c r="D95" s="940"/>
      <c r="E95" s="940"/>
      <c r="F95" s="940"/>
      <c r="G95" s="940"/>
      <c r="H95" s="940"/>
      <c r="I95" s="940"/>
      <c r="J95" s="940"/>
      <c r="K95" s="940"/>
      <c r="L95" s="940"/>
    </row>
    <row r="96" spans="1:62" ht="15">
      <c r="A96" s="138" t="s">
        <v>301</v>
      </c>
      <c r="B96" s="138" t="s">
        <v>2010</v>
      </c>
      <c r="C96" s="920" t="s">
        <v>2011</v>
      </c>
      <c r="D96" s="911"/>
      <c r="E96" s="911"/>
      <c r="F96" s="138" t="s">
        <v>132</v>
      </c>
      <c r="G96" s="139">
        <v>406</v>
      </c>
      <c r="H96" s="577">
        <v>0</v>
      </c>
      <c r="I96" s="139">
        <f>G96*AO96</f>
        <v>0</v>
      </c>
      <c r="J96" s="139">
        <f>G96*AP96</f>
        <v>0</v>
      </c>
      <c r="K96" s="139">
        <f>G96*H96</f>
        <v>0</v>
      </c>
      <c r="L96" s="140" t="s">
        <v>120</v>
      </c>
      <c r="Z96" s="139">
        <f>IF(AQ96="5",BJ96,0)</f>
        <v>0</v>
      </c>
      <c r="AB96" s="139">
        <f>IF(AQ96="1",BH96,0)</f>
        <v>0</v>
      </c>
      <c r="AC96" s="139">
        <f>IF(AQ96="1",BI96,0)</f>
        <v>0</v>
      </c>
      <c r="AD96" s="139">
        <f>IF(AQ96="7",BH96,0)</f>
        <v>0</v>
      </c>
      <c r="AE96" s="139">
        <f>IF(AQ96="7",BI96,0)</f>
        <v>0</v>
      </c>
      <c r="AF96" s="139">
        <f>IF(AQ96="2",BH96,0)</f>
        <v>0</v>
      </c>
      <c r="AG96" s="139">
        <f>IF(AQ96="2",BI96,0)</f>
        <v>0</v>
      </c>
      <c r="AH96" s="139">
        <f>IF(AQ96="0",BJ96,0)</f>
        <v>0</v>
      </c>
      <c r="AI96" s="136" t="s">
        <v>157</v>
      </c>
      <c r="AJ96" s="139">
        <f>IF(AN96=0,K96,0)</f>
        <v>0</v>
      </c>
      <c r="AK96" s="139">
        <f>IF(AN96=15,K96,0)</f>
        <v>0</v>
      </c>
      <c r="AL96" s="139">
        <f>IF(AN96=21,K96,0)</f>
        <v>0</v>
      </c>
      <c r="AN96" s="139">
        <v>21</v>
      </c>
      <c r="AO96" s="139">
        <f>H96*1</f>
        <v>0</v>
      </c>
      <c r="AP96" s="139">
        <f>H96*(1-1)</f>
        <v>0</v>
      </c>
      <c r="AQ96" s="140" t="s">
        <v>355</v>
      </c>
      <c r="AV96" s="139">
        <f>AW96+AX96</f>
        <v>0</v>
      </c>
      <c r="AW96" s="139">
        <f>G96*AO96</f>
        <v>0</v>
      </c>
      <c r="AX96" s="139">
        <f>G96*AP96</f>
        <v>0</v>
      </c>
      <c r="AY96" s="140" t="s">
        <v>356</v>
      </c>
      <c r="AZ96" s="140" t="s">
        <v>1067</v>
      </c>
      <c r="BA96" s="136" t="s">
        <v>162</v>
      </c>
      <c r="BC96" s="139">
        <f>AW96+AX96</f>
        <v>0</v>
      </c>
      <c r="BD96" s="139">
        <f>H96/(100-BE96)*100</f>
        <v>0</v>
      </c>
      <c r="BE96" s="139">
        <v>0</v>
      </c>
      <c r="BF96" s="139">
        <f>96</f>
        <v>96</v>
      </c>
      <c r="BH96" s="139">
        <f>G96*AO96</f>
        <v>0</v>
      </c>
      <c r="BI96" s="139">
        <f>G96*AP96</f>
        <v>0</v>
      </c>
      <c r="BJ96" s="139">
        <f>G96*H96</f>
        <v>0</v>
      </c>
    </row>
    <row r="97" spans="1:12" ht="25.35" customHeight="1">
      <c r="A97" s="575"/>
      <c r="B97" s="576" t="s">
        <v>67</v>
      </c>
      <c r="C97" s="943" t="s">
        <v>2012</v>
      </c>
      <c r="D97" s="944"/>
      <c r="E97" s="944"/>
      <c r="F97" s="944"/>
      <c r="G97" s="944"/>
      <c r="H97" s="944"/>
      <c r="I97" s="944"/>
      <c r="J97" s="944"/>
      <c r="K97" s="944"/>
      <c r="L97" s="944"/>
    </row>
    <row r="98" spans="1:12" ht="15">
      <c r="A98" s="145"/>
      <c r="B98" s="145"/>
      <c r="C98" s="145"/>
      <c r="D98" s="145"/>
      <c r="E98" s="145"/>
      <c r="F98" s="145"/>
      <c r="G98" s="145"/>
      <c r="H98" s="145"/>
      <c r="I98" s="945" t="s">
        <v>911</v>
      </c>
      <c r="J98" s="946"/>
      <c r="K98" s="146">
        <f>K13+K18+K24+K31+K38+K43+K48+K55+K57+K69+K85+K88+K90</f>
        <v>0</v>
      </c>
      <c r="L98" s="145"/>
    </row>
    <row r="99" ht="10.8" customHeight="1">
      <c r="A99" s="147" t="s">
        <v>67</v>
      </c>
    </row>
    <row r="100" spans="1:12" ht="12.75" customHeight="1">
      <c r="A100" s="919"/>
      <c r="B100" s="911"/>
      <c r="C100" s="911"/>
      <c r="D100" s="911"/>
      <c r="E100" s="911"/>
      <c r="F100" s="911"/>
      <c r="G100" s="911"/>
      <c r="H100" s="911"/>
      <c r="I100" s="911"/>
      <c r="J100" s="911"/>
      <c r="K100" s="911"/>
      <c r="L100" s="911"/>
    </row>
  </sheetData>
  <sheetProtection algorithmName="SHA-512" hashValue="dXNVtJhSk3gWkRjAUm+muZxPB810T7Icp1RnyxQ3h0B1XYG7ARGMxPJ2TZqKmYtUPE93nMIjPO2OAj20Z67Xfg==" saltValue="VxEJ3rV0PG41cI0GDAC8og==" spinCount="100000" sheet="1"/>
  <mergeCells count="116">
    <mergeCell ref="A100:L100"/>
    <mergeCell ref="C93:E93"/>
    <mergeCell ref="C94:E94"/>
    <mergeCell ref="C95:L95"/>
    <mergeCell ref="C96:E96"/>
    <mergeCell ref="C97:L97"/>
    <mergeCell ref="I98:J98"/>
    <mergeCell ref="C87:L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L63"/>
    <mergeCell ref="C64:E64"/>
    <mergeCell ref="C65:L65"/>
    <mergeCell ref="C66:E66"/>
    <mergeCell ref="C67:L67"/>
    <mergeCell ref="C68:E68"/>
    <mergeCell ref="C57:E57"/>
    <mergeCell ref="C58:E58"/>
    <mergeCell ref="C59:L59"/>
    <mergeCell ref="C60:E60"/>
    <mergeCell ref="C61:L61"/>
    <mergeCell ref="C62:E62"/>
    <mergeCell ref="C51:E51"/>
    <mergeCell ref="C52:L52"/>
    <mergeCell ref="C53:E53"/>
    <mergeCell ref="C54:E54"/>
    <mergeCell ref="C55:E55"/>
    <mergeCell ref="C56:E56"/>
    <mergeCell ref="C45:L45"/>
    <mergeCell ref="C46:E46"/>
    <mergeCell ref="C47:E47"/>
    <mergeCell ref="C48:E48"/>
    <mergeCell ref="C49:E49"/>
    <mergeCell ref="C50:L50"/>
    <mergeCell ref="C39:E39"/>
    <mergeCell ref="C40:E40"/>
    <mergeCell ref="C41:E41"/>
    <mergeCell ref="C42:L42"/>
    <mergeCell ref="C43:E43"/>
    <mergeCell ref="C44:E44"/>
    <mergeCell ref="C33:L33"/>
    <mergeCell ref="C34:E34"/>
    <mergeCell ref="C35:E35"/>
    <mergeCell ref="C36:L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L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1:L1"/>
    <mergeCell ref="A2:B3"/>
    <mergeCell ref="C2:C3"/>
    <mergeCell ref="D2:E3"/>
    <mergeCell ref="F2:G3"/>
    <mergeCell ref="H2:H3"/>
    <mergeCell ref="I2:L3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716A-B350-4B22-AA56-E1CFADD1DD4B}">
  <sheetPr>
    <tabColor theme="4" tint="0.7999799847602844"/>
    <pageSetUpPr fitToPage="1"/>
  </sheetPr>
  <dimension ref="A1:BJ487"/>
  <sheetViews>
    <sheetView zoomScale="60" zoomScaleNormal="60" workbookViewId="0" topLeftCell="A1">
      <pane ySplit="11" topLeftCell="A99" activePane="bottomLeft" state="frozen"/>
      <selection pane="topLeft" activeCell="O19" sqref="O19"/>
      <selection pane="bottomLeft" activeCell="T58" sqref="T58"/>
    </sheetView>
  </sheetViews>
  <sheetFormatPr defaultColWidth="11.57421875" defaultRowHeight="15"/>
  <cols>
    <col min="1" max="1" width="3.7109375" style="52" customWidth="1"/>
    <col min="2" max="2" width="14.28125" style="52" customWidth="1"/>
    <col min="3" max="3" width="159.8515625" style="52" customWidth="1"/>
    <col min="4" max="5" width="12.140625" style="52" customWidth="1"/>
    <col min="6" max="6" width="8.00390625" style="52" customWidth="1"/>
    <col min="7" max="7" width="12.7109375" style="52" customWidth="1"/>
    <col min="8" max="8" width="12.00390625" style="52" customWidth="1"/>
    <col min="9" max="11" width="14.28125" style="52" customWidth="1"/>
    <col min="12" max="12" width="14.7109375" style="52" customWidth="1"/>
    <col min="13" max="24" width="11.57421875" style="52" customWidth="1"/>
    <col min="25" max="62" width="9.7109375" style="52" hidden="1" customWidth="1"/>
    <col min="63" max="256" width="11.57421875" style="52" customWidth="1"/>
    <col min="257" max="257" width="3.7109375" style="52" customWidth="1"/>
    <col min="258" max="258" width="14.28125" style="52" customWidth="1"/>
    <col min="259" max="259" width="159.8515625" style="52" customWidth="1"/>
    <col min="260" max="261" width="12.140625" style="52" customWidth="1"/>
    <col min="262" max="262" width="8.00390625" style="52" customWidth="1"/>
    <col min="263" max="263" width="12.7109375" style="52" customWidth="1"/>
    <col min="264" max="264" width="12.00390625" style="52" customWidth="1"/>
    <col min="265" max="267" width="14.28125" style="52" customWidth="1"/>
    <col min="268" max="268" width="14.7109375" style="52" customWidth="1"/>
    <col min="269" max="280" width="11.57421875" style="52" customWidth="1"/>
    <col min="281" max="318" width="11.57421875" style="52" hidden="1" customWidth="1"/>
    <col min="319" max="512" width="11.57421875" style="52" customWidth="1"/>
    <col min="513" max="513" width="3.7109375" style="52" customWidth="1"/>
    <col min="514" max="514" width="14.28125" style="52" customWidth="1"/>
    <col min="515" max="515" width="159.8515625" style="52" customWidth="1"/>
    <col min="516" max="517" width="12.140625" style="52" customWidth="1"/>
    <col min="518" max="518" width="8.00390625" style="52" customWidth="1"/>
    <col min="519" max="519" width="12.7109375" style="52" customWidth="1"/>
    <col min="520" max="520" width="12.00390625" style="52" customWidth="1"/>
    <col min="521" max="523" width="14.28125" style="52" customWidth="1"/>
    <col min="524" max="524" width="14.7109375" style="52" customWidth="1"/>
    <col min="525" max="536" width="11.57421875" style="52" customWidth="1"/>
    <col min="537" max="574" width="11.57421875" style="52" hidden="1" customWidth="1"/>
    <col min="575" max="768" width="11.57421875" style="52" customWidth="1"/>
    <col min="769" max="769" width="3.7109375" style="52" customWidth="1"/>
    <col min="770" max="770" width="14.28125" style="52" customWidth="1"/>
    <col min="771" max="771" width="159.8515625" style="52" customWidth="1"/>
    <col min="772" max="773" width="12.140625" style="52" customWidth="1"/>
    <col min="774" max="774" width="8.00390625" style="52" customWidth="1"/>
    <col min="775" max="775" width="12.7109375" style="52" customWidth="1"/>
    <col min="776" max="776" width="12.00390625" style="52" customWidth="1"/>
    <col min="777" max="779" width="14.28125" style="52" customWidth="1"/>
    <col min="780" max="780" width="14.7109375" style="52" customWidth="1"/>
    <col min="781" max="792" width="11.57421875" style="52" customWidth="1"/>
    <col min="793" max="830" width="11.57421875" style="52" hidden="1" customWidth="1"/>
    <col min="831" max="1024" width="11.57421875" style="52" customWidth="1"/>
    <col min="1025" max="1025" width="3.7109375" style="52" customWidth="1"/>
    <col min="1026" max="1026" width="14.28125" style="52" customWidth="1"/>
    <col min="1027" max="1027" width="159.8515625" style="52" customWidth="1"/>
    <col min="1028" max="1029" width="12.140625" style="52" customWidth="1"/>
    <col min="1030" max="1030" width="8.00390625" style="52" customWidth="1"/>
    <col min="1031" max="1031" width="12.7109375" style="52" customWidth="1"/>
    <col min="1032" max="1032" width="12.00390625" style="52" customWidth="1"/>
    <col min="1033" max="1035" width="14.28125" style="52" customWidth="1"/>
    <col min="1036" max="1036" width="14.7109375" style="52" customWidth="1"/>
    <col min="1037" max="1048" width="11.57421875" style="52" customWidth="1"/>
    <col min="1049" max="1086" width="11.57421875" style="52" hidden="1" customWidth="1"/>
    <col min="1087" max="1280" width="11.57421875" style="52" customWidth="1"/>
    <col min="1281" max="1281" width="3.7109375" style="52" customWidth="1"/>
    <col min="1282" max="1282" width="14.28125" style="52" customWidth="1"/>
    <col min="1283" max="1283" width="159.8515625" style="52" customWidth="1"/>
    <col min="1284" max="1285" width="12.140625" style="52" customWidth="1"/>
    <col min="1286" max="1286" width="8.00390625" style="52" customWidth="1"/>
    <col min="1287" max="1287" width="12.7109375" style="52" customWidth="1"/>
    <col min="1288" max="1288" width="12.00390625" style="52" customWidth="1"/>
    <col min="1289" max="1291" width="14.28125" style="52" customWidth="1"/>
    <col min="1292" max="1292" width="14.7109375" style="52" customWidth="1"/>
    <col min="1293" max="1304" width="11.57421875" style="52" customWidth="1"/>
    <col min="1305" max="1342" width="11.57421875" style="52" hidden="1" customWidth="1"/>
    <col min="1343" max="1536" width="11.57421875" style="52" customWidth="1"/>
    <col min="1537" max="1537" width="3.7109375" style="52" customWidth="1"/>
    <col min="1538" max="1538" width="14.28125" style="52" customWidth="1"/>
    <col min="1539" max="1539" width="159.8515625" style="52" customWidth="1"/>
    <col min="1540" max="1541" width="12.140625" style="52" customWidth="1"/>
    <col min="1542" max="1542" width="8.00390625" style="52" customWidth="1"/>
    <col min="1543" max="1543" width="12.7109375" style="52" customWidth="1"/>
    <col min="1544" max="1544" width="12.00390625" style="52" customWidth="1"/>
    <col min="1545" max="1547" width="14.28125" style="52" customWidth="1"/>
    <col min="1548" max="1548" width="14.7109375" style="52" customWidth="1"/>
    <col min="1549" max="1560" width="11.57421875" style="52" customWidth="1"/>
    <col min="1561" max="1598" width="11.57421875" style="52" hidden="1" customWidth="1"/>
    <col min="1599" max="1792" width="11.57421875" style="52" customWidth="1"/>
    <col min="1793" max="1793" width="3.7109375" style="52" customWidth="1"/>
    <col min="1794" max="1794" width="14.28125" style="52" customWidth="1"/>
    <col min="1795" max="1795" width="159.8515625" style="52" customWidth="1"/>
    <col min="1796" max="1797" width="12.140625" style="52" customWidth="1"/>
    <col min="1798" max="1798" width="8.00390625" style="52" customWidth="1"/>
    <col min="1799" max="1799" width="12.7109375" style="52" customWidth="1"/>
    <col min="1800" max="1800" width="12.00390625" style="52" customWidth="1"/>
    <col min="1801" max="1803" width="14.28125" style="52" customWidth="1"/>
    <col min="1804" max="1804" width="14.7109375" style="52" customWidth="1"/>
    <col min="1805" max="1816" width="11.57421875" style="52" customWidth="1"/>
    <col min="1817" max="1854" width="11.57421875" style="52" hidden="1" customWidth="1"/>
    <col min="1855" max="2048" width="11.57421875" style="52" customWidth="1"/>
    <col min="2049" max="2049" width="3.7109375" style="52" customWidth="1"/>
    <col min="2050" max="2050" width="14.28125" style="52" customWidth="1"/>
    <col min="2051" max="2051" width="159.8515625" style="52" customWidth="1"/>
    <col min="2052" max="2053" width="12.140625" style="52" customWidth="1"/>
    <col min="2054" max="2054" width="8.00390625" style="52" customWidth="1"/>
    <col min="2055" max="2055" width="12.7109375" style="52" customWidth="1"/>
    <col min="2056" max="2056" width="12.00390625" style="52" customWidth="1"/>
    <col min="2057" max="2059" width="14.28125" style="52" customWidth="1"/>
    <col min="2060" max="2060" width="14.7109375" style="52" customWidth="1"/>
    <col min="2061" max="2072" width="11.57421875" style="52" customWidth="1"/>
    <col min="2073" max="2110" width="11.57421875" style="52" hidden="1" customWidth="1"/>
    <col min="2111" max="2304" width="11.57421875" style="52" customWidth="1"/>
    <col min="2305" max="2305" width="3.7109375" style="52" customWidth="1"/>
    <col min="2306" max="2306" width="14.28125" style="52" customWidth="1"/>
    <col min="2307" max="2307" width="159.8515625" style="52" customWidth="1"/>
    <col min="2308" max="2309" width="12.140625" style="52" customWidth="1"/>
    <col min="2310" max="2310" width="8.00390625" style="52" customWidth="1"/>
    <col min="2311" max="2311" width="12.7109375" style="52" customWidth="1"/>
    <col min="2312" max="2312" width="12.00390625" style="52" customWidth="1"/>
    <col min="2313" max="2315" width="14.28125" style="52" customWidth="1"/>
    <col min="2316" max="2316" width="14.7109375" style="52" customWidth="1"/>
    <col min="2317" max="2328" width="11.57421875" style="52" customWidth="1"/>
    <col min="2329" max="2366" width="11.57421875" style="52" hidden="1" customWidth="1"/>
    <col min="2367" max="2560" width="11.57421875" style="52" customWidth="1"/>
    <col min="2561" max="2561" width="3.7109375" style="52" customWidth="1"/>
    <col min="2562" max="2562" width="14.28125" style="52" customWidth="1"/>
    <col min="2563" max="2563" width="159.8515625" style="52" customWidth="1"/>
    <col min="2564" max="2565" width="12.140625" style="52" customWidth="1"/>
    <col min="2566" max="2566" width="8.00390625" style="52" customWidth="1"/>
    <col min="2567" max="2567" width="12.7109375" style="52" customWidth="1"/>
    <col min="2568" max="2568" width="12.00390625" style="52" customWidth="1"/>
    <col min="2569" max="2571" width="14.28125" style="52" customWidth="1"/>
    <col min="2572" max="2572" width="14.7109375" style="52" customWidth="1"/>
    <col min="2573" max="2584" width="11.57421875" style="52" customWidth="1"/>
    <col min="2585" max="2622" width="11.57421875" style="52" hidden="1" customWidth="1"/>
    <col min="2623" max="2816" width="11.57421875" style="52" customWidth="1"/>
    <col min="2817" max="2817" width="3.7109375" style="52" customWidth="1"/>
    <col min="2818" max="2818" width="14.28125" style="52" customWidth="1"/>
    <col min="2819" max="2819" width="159.8515625" style="52" customWidth="1"/>
    <col min="2820" max="2821" width="12.140625" style="52" customWidth="1"/>
    <col min="2822" max="2822" width="8.00390625" style="52" customWidth="1"/>
    <col min="2823" max="2823" width="12.7109375" style="52" customWidth="1"/>
    <col min="2824" max="2824" width="12.00390625" style="52" customWidth="1"/>
    <col min="2825" max="2827" width="14.28125" style="52" customWidth="1"/>
    <col min="2828" max="2828" width="14.7109375" style="52" customWidth="1"/>
    <col min="2829" max="2840" width="11.57421875" style="52" customWidth="1"/>
    <col min="2841" max="2878" width="11.57421875" style="52" hidden="1" customWidth="1"/>
    <col min="2879" max="3072" width="11.57421875" style="52" customWidth="1"/>
    <col min="3073" max="3073" width="3.7109375" style="52" customWidth="1"/>
    <col min="3074" max="3074" width="14.28125" style="52" customWidth="1"/>
    <col min="3075" max="3075" width="159.8515625" style="52" customWidth="1"/>
    <col min="3076" max="3077" width="12.140625" style="52" customWidth="1"/>
    <col min="3078" max="3078" width="8.00390625" style="52" customWidth="1"/>
    <col min="3079" max="3079" width="12.7109375" style="52" customWidth="1"/>
    <col min="3080" max="3080" width="12.00390625" style="52" customWidth="1"/>
    <col min="3081" max="3083" width="14.28125" style="52" customWidth="1"/>
    <col min="3084" max="3084" width="14.7109375" style="52" customWidth="1"/>
    <col min="3085" max="3096" width="11.57421875" style="52" customWidth="1"/>
    <col min="3097" max="3134" width="11.57421875" style="52" hidden="1" customWidth="1"/>
    <col min="3135" max="3328" width="11.57421875" style="52" customWidth="1"/>
    <col min="3329" max="3329" width="3.7109375" style="52" customWidth="1"/>
    <col min="3330" max="3330" width="14.28125" style="52" customWidth="1"/>
    <col min="3331" max="3331" width="159.8515625" style="52" customWidth="1"/>
    <col min="3332" max="3333" width="12.140625" style="52" customWidth="1"/>
    <col min="3334" max="3334" width="8.00390625" style="52" customWidth="1"/>
    <col min="3335" max="3335" width="12.7109375" style="52" customWidth="1"/>
    <col min="3336" max="3336" width="12.00390625" style="52" customWidth="1"/>
    <col min="3337" max="3339" width="14.28125" style="52" customWidth="1"/>
    <col min="3340" max="3340" width="14.7109375" style="52" customWidth="1"/>
    <col min="3341" max="3352" width="11.57421875" style="52" customWidth="1"/>
    <col min="3353" max="3390" width="11.57421875" style="52" hidden="1" customWidth="1"/>
    <col min="3391" max="3584" width="11.57421875" style="52" customWidth="1"/>
    <col min="3585" max="3585" width="3.7109375" style="52" customWidth="1"/>
    <col min="3586" max="3586" width="14.28125" style="52" customWidth="1"/>
    <col min="3587" max="3587" width="159.8515625" style="52" customWidth="1"/>
    <col min="3588" max="3589" width="12.140625" style="52" customWidth="1"/>
    <col min="3590" max="3590" width="8.00390625" style="52" customWidth="1"/>
    <col min="3591" max="3591" width="12.7109375" style="52" customWidth="1"/>
    <col min="3592" max="3592" width="12.00390625" style="52" customWidth="1"/>
    <col min="3593" max="3595" width="14.28125" style="52" customWidth="1"/>
    <col min="3596" max="3596" width="14.7109375" style="52" customWidth="1"/>
    <col min="3597" max="3608" width="11.57421875" style="52" customWidth="1"/>
    <col min="3609" max="3646" width="11.57421875" style="52" hidden="1" customWidth="1"/>
    <col min="3647" max="3840" width="11.57421875" style="52" customWidth="1"/>
    <col min="3841" max="3841" width="3.7109375" style="52" customWidth="1"/>
    <col min="3842" max="3842" width="14.28125" style="52" customWidth="1"/>
    <col min="3843" max="3843" width="159.8515625" style="52" customWidth="1"/>
    <col min="3844" max="3845" width="12.140625" style="52" customWidth="1"/>
    <col min="3846" max="3846" width="8.00390625" style="52" customWidth="1"/>
    <col min="3847" max="3847" width="12.7109375" style="52" customWidth="1"/>
    <col min="3848" max="3848" width="12.00390625" style="52" customWidth="1"/>
    <col min="3849" max="3851" width="14.28125" style="52" customWidth="1"/>
    <col min="3852" max="3852" width="14.7109375" style="52" customWidth="1"/>
    <col min="3853" max="3864" width="11.57421875" style="52" customWidth="1"/>
    <col min="3865" max="3902" width="11.57421875" style="52" hidden="1" customWidth="1"/>
    <col min="3903" max="4096" width="11.57421875" style="52" customWidth="1"/>
    <col min="4097" max="4097" width="3.7109375" style="52" customWidth="1"/>
    <col min="4098" max="4098" width="14.28125" style="52" customWidth="1"/>
    <col min="4099" max="4099" width="159.8515625" style="52" customWidth="1"/>
    <col min="4100" max="4101" width="12.140625" style="52" customWidth="1"/>
    <col min="4102" max="4102" width="8.00390625" style="52" customWidth="1"/>
    <col min="4103" max="4103" width="12.7109375" style="52" customWidth="1"/>
    <col min="4104" max="4104" width="12.00390625" style="52" customWidth="1"/>
    <col min="4105" max="4107" width="14.28125" style="52" customWidth="1"/>
    <col min="4108" max="4108" width="14.7109375" style="52" customWidth="1"/>
    <col min="4109" max="4120" width="11.57421875" style="52" customWidth="1"/>
    <col min="4121" max="4158" width="11.57421875" style="52" hidden="1" customWidth="1"/>
    <col min="4159" max="4352" width="11.57421875" style="52" customWidth="1"/>
    <col min="4353" max="4353" width="3.7109375" style="52" customWidth="1"/>
    <col min="4354" max="4354" width="14.28125" style="52" customWidth="1"/>
    <col min="4355" max="4355" width="159.8515625" style="52" customWidth="1"/>
    <col min="4356" max="4357" width="12.140625" style="52" customWidth="1"/>
    <col min="4358" max="4358" width="8.00390625" style="52" customWidth="1"/>
    <col min="4359" max="4359" width="12.7109375" style="52" customWidth="1"/>
    <col min="4360" max="4360" width="12.00390625" style="52" customWidth="1"/>
    <col min="4361" max="4363" width="14.28125" style="52" customWidth="1"/>
    <col min="4364" max="4364" width="14.7109375" style="52" customWidth="1"/>
    <col min="4365" max="4376" width="11.57421875" style="52" customWidth="1"/>
    <col min="4377" max="4414" width="11.57421875" style="52" hidden="1" customWidth="1"/>
    <col min="4415" max="4608" width="11.57421875" style="52" customWidth="1"/>
    <col min="4609" max="4609" width="3.7109375" style="52" customWidth="1"/>
    <col min="4610" max="4610" width="14.28125" style="52" customWidth="1"/>
    <col min="4611" max="4611" width="159.8515625" style="52" customWidth="1"/>
    <col min="4612" max="4613" width="12.140625" style="52" customWidth="1"/>
    <col min="4614" max="4614" width="8.00390625" style="52" customWidth="1"/>
    <col min="4615" max="4615" width="12.7109375" style="52" customWidth="1"/>
    <col min="4616" max="4616" width="12.00390625" style="52" customWidth="1"/>
    <col min="4617" max="4619" width="14.28125" style="52" customWidth="1"/>
    <col min="4620" max="4620" width="14.7109375" style="52" customWidth="1"/>
    <col min="4621" max="4632" width="11.57421875" style="52" customWidth="1"/>
    <col min="4633" max="4670" width="11.57421875" style="52" hidden="1" customWidth="1"/>
    <col min="4671" max="4864" width="11.57421875" style="52" customWidth="1"/>
    <col min="4865" max="4865" width="3.7109375" style="52" customWidth="1"/>
    <col min="4866" max="4866" width="14.28125" style="52" customWidth="1"/>
    <col min="4867" max="4867" width="159.8515625" style="52" customWidth="1"/>
    <col min="4868" max="4869" width="12.140625" style="52" customWidth="1"/>
    <col min="4870" max="4870" width="8.00390625" style="52" customWidth="1"/>
    <col min="4871" max="4871" width="12.7109375" style="52" customWidth="1"/>
    <col min="4872" max="4872" width="12.00390625" style="52" customWidth="1"/>
    <col min="4873" max="4875" width="14.28125" style="52" customWidth="1"/>
    <col min="4876" max="4876" width="14.7109375" style="52" customWidth="1"/>
    <col min="4877" max="4888" width="11.57421875" style="52" customWidth="1"/>
    <col min="4889" max="4926" width="11.57421875" style="52" hidden="1" customWidth="1"/>
    <col min="4927" max="5120" width="11.57421875" style="52" customWidth="1"/>
    <col min="5121" max="5121" width="3.7109375" style="52" customWidth="1"/>
    <col min="5122" max="5122" width="14.28125" style="52" customWidth="1"/>
    <col min="5123" max="5123" width="159.8515625" style="52" customWidth="1"/>
    <col min="5124" max="5125" width="12.140625" style="52" customWidth="1"/>
    <col min="5126" max="5126" width="8.00390625" style="52" customWidth="1"/>
    <col min="5127" max="5127" width="12.7109375" style="52" customWidth="1"/>
    <col min="5128" max="5128" width="12.00390625" style="52" customWidth="1"/>
    <col min="5129" max="5131" width="14.28125" style="52" customWidth="1"/>
    <col min="5132" max="5132" width="14.7109375" style="52" customWidth="1"/>
    <col min="5133" max="5144" width="11.57421875" style="52" customWidth="1"/>
    <col min="5145" max="5182" width="11.57421875" style="52" hidden="1" customWidth="1"/>
    <col min="5183" max="5376" width="11.57421875" style="52" customWidth="1"/>
    <col min="5377" max="5377" width="3.7109375" style="52" customWidth="1"/>
    <col min="5378" max="5378" width="14.28125" style="52" customWidth="1"/>
    <col min="5379" max="5379" width="159.8515625" style="52" customWidth="1"/>
    <col min="5380" max="5381" width="12.140625" style="52" customWidth="1"/>
    <col min="5382" max="5382" width="8.00390625" style="52" customWidth="1"/>
    <col min="5383" max="5383" width="12.7109375" style="52" customWidth="1"/>
    <col min="5384" max="5384" width="12.00390625" style="52" customWidth="1"/>
    <col min="5385" max="5387" width="14.28125" style="52" customWidth="1"/>
    <col min="5388" max="5388" width="14.7109375" style="52" customWidth="1"/>
    <col min="5389" max="5400" width="11.57421875" style="52" customWidth="1"/>
    <col min="5401" max="5438" width="11.57421875" style="52" hidden="1" customWidth="1"/>
    <col min="5439" max="5632" width="11.57421875" style="52" customWidth="1"/>
    <col min="5633" max="5633" width="3.7109375" style="52" customWidth="1"/>
    <col min="5634" max="5634" width="14.28125" style="52" customWidth="1"/>
    <col min="5635" max="5635" width="159.8515625" style="52" customWidth="1"/>
    <col min="5636" max="5637" width="12.140625" style="52" customWidth="1"/>
    <col min="5638" max="5638" width="8.00390625" style="52" customWidth="1"/>
    <col min="5639" max="5639" width="12.7109375" style="52" customWidth="1"/>
    <col min="5640" max="5640" width="12.00390625" style="52" customWidth="1"/>
    <col min="5641" max="5643" width="14.28125" style="52" customWidth="1"/>
    <col min="5644" max="5644" width="14.7109375" style="52" customWidth="1"/>
    <col min="5645" max="5656" width="11.57421875" style="52" customWidth="1"/>
    <col min="5657" max="5694" width="11.57421875" style="52" hidden="1" customWidth="1"/>
    <col min="5695" max="5888" width="11.57421875" style="52" customWidth="1"/>
    <col min="5889" max="5889" width="3.7109375" style="52" customWidth="1"/>
    <col min="5890" max="5890" width="14.28125" style="52" customWidth="1"/>
    <col min="5891" max="5891" width="159.8515625" style="52" customWidth="1"/>
    <col min="5892" max="5893" width="12.140625" style="52" customWidth="1"/>
    <col min="5894" max="5894" width="8.00390625" style="52" customWidth="1"/>
    <col min="5895" max="5895" width="12.7109375" style="52" customWidth="1"/>
    <col min="5896" max="5896" width="12.00390625" style="52" customWidth="1"/>
    <col min="5897" max="5899" width="14.28125" style="52" customWidth="1"/>
    <col min="5900" max="5900" width="14.7109375" style="52" customWidth="1"/>
    <col min="5901" max="5912" width="11.57421875" style="52" customWidth="1"/>
    <col min="5913" max="5950" width="11.57421875" style="52" hidden="1" customWidth="1"/>
    <col min="5951" max="6144" width="11.57421875" style="52" customWidth="1"/>
    <col min="6145" max="6145" width="3.7109375" style="52" customWidth="1"/>
    <col min="6146" max="6146" width="14.28125" style="52" customWidth="1"/>
    <col min="6147" max="6147" width="159.8515625" style="52" customWidth="1"/>
    <col min="6148" max="6149" width="12.140625" style="52" customWidth="1"/>
    <col min="6150" max="6150" width="8.00390625" style="52" customWidth="1"/>
    <col min="6151" max="6151" width="12.7109375" style="52" customWidth="1"/>
    <col min="6152" max="6152" width="12.00390625" style="52" customWidth="1"/>
    <col min="6153" max="6155" width="14.28125" style="52" customWidth="1"/>
    <col min="6156" max="6156" width="14.7109375" style="52" customWidth="1"/>
    <col min="6157" max="6168" width="11.57421875" style="52" customWidth="1"/>
    <col min="6169" max="6206" width="11.57421875" style="52" hidden="1" customWidth="1"/>
    <col min="6207" max="6400" width="11.57421875" style="52" customWidth="1"/>
    <col min="6401" max="6401" width="3.7109375" style="52" customWidth="1"/>
    <col min="6402" max="6402" width="14.28125" style="52" customWidth="1"/>
    <col min="6403" max="6403" width="159.8515625" style="52" customWidth="1"/>
    <col min="6404" max="6405" width="12.140625" style="52" customWidth="1"/>
    <col min="6406" max="6406" width="8.00390625" style="52" customWidth="1"/>
    <col min="6407" max="6407" width="12.7109375" style="52" customWidth="1"/>
    <col min="6408" max="6408" width="12.00390625" style="52" customWidth="1"/>
    <col min="6409" max="6411" width="14.28125" style="52" customWidth="1"/>
    <col min="6412" max="6412" width="14.7109375" style="52" customWidth="1"/>
    <col min="6413" max="6424" width="11.57421875" style="52" customWidth="1"/>
    <col min="6425" max="6462" width="11.57421875" style="52" hidden="1" customWidth="1"/>
    <col min="6463" max="6656" width="11.57421875" style="52" customWidth="1"/>
    <col min="6657" max="6657" width="3.7109375" style="52" customWidth="1"/>
    <col min="6658" max="6658" width="14.28125" style="52" customWidth="1"/>
    <col min="6659" max="6659" width="159.8515625" style="52" customWidth="1"/>
    <col min="6660" max="6661" width="12.140625" style="52" customWidth="1"/>
    <col min="6662" max="6662" width="8.00390625" style="52" customWidth="1"/>
    <col min="6663" max="6663" width="12.7109375" style="52" customWidth="1"/>
    <col min="6664" max="6664" width="12.00390625" style="52" customWidth="1"/>
    <col min="6665" max="6667" width="14.28125" style="52" customWidth="1"/>
    <col min="6668" max="6668" width="14.7109375" style="52" customWidth="1"/>
    <col min="6669" max="6680" width="11.57421875" style="52" customWidth="1"/>
    <col min="6681" max="6718" width="11.57421875" style="52" hidden="1" customWidth="1"/>
    <col min="6719" max="6912" width="11.57421875" style="52" customWidth="1"/>
    <col min="6913" max="6913" width="3.7109375" style="52" customWidth="1"/>
    <col min="6914" max="6914" width="14.28125" style="52" customWidth="1"/>
    <col min="6915" max="6915" width="159.8515625" style="52" customWidth="1"/>
    <col min="6916" max="6917" width="12.140625" style="52" customWidth="1"/>
    <col min="6918" max="6918" width="8.00390625" style="52" customWidth="1"/>
    <col min="6919" max="6919" width="12.7109375" style="52" customWidth="1"/>
    <col min="6920" max="6920" width="12.00390625" style="52" customWidth="1"/>
    <col min="6921" max="6923" width="14.28125" style="52" customWidth="1"/>
    <col min="6924" max="6924" width="14.7109375" style="52" customWidth="1"/>
    <col min="6925" max="6936" width="11.57421875" style="52" customWidth="1"/>
    <col min="6937" max="6974" width="11.57421875" style="52" hidden="1" customWidth="1"/>
    <col min="6975" max="7168" width="11.57421875" style="52" customWidth="1"/>
    <col min="7169" max="7169" width="3.7109375" style="52" customWidth="1"/>
    <col min="7170" max="7170" width="14.28125" style="52" customWidth="1"/>
    <col min="7171" max="7171" width="159.8515625" style="52" customWidth="1"/>
    <col min="7172" max="7173" width="12.140625" style="52" customWidth="1"/>
    <col min="7174" max="7174" width="8.00390625" style="52" customWidth="1"/>
    <col min="7175" max="7175" width="12.7109375" style="52" customWidth="1"/>
    <col min="7176" max="7176" width="12.00390625" style="52" customWidth="1"/>
    <col min="7177" max="7179" width="14.28125" style="52" customWidth="1"/>
    <col min="7180" max="7180" width="14.7109375" style="52" customWidth="1"/>
    <col min="7181" max="7192" width="11.57421875" style="52" customWidth="1"/>
    <col min="7193" max="7230" width="11.57421875" style="52" hidden="1" customWidth="1"/>
    <col min="7231" max="7424" width="11.57421875" style="52" customWidth="1"/>
    <col min="7425" max="7425" width="3.7109375" style="52" customWidth="1"/>
    <col min="7426" max="7426" width="14.28125" style="52" customWidth="1"/>
    <col min="7427" max="7427" width="159.8515625" style="52" customWidth="1"/>
    <col min="7428" max="7429" width="12.140625" style="52" customWidth="1"/>
    <col min="7430" max="7430" width="8.00390625" style="52" customWidth="1"/>
    <col min="7431" max="7431" width="12.7109375" style="52" customWidth="1"/>
    <col min="7432" max="7432" width="12.00390625" style="52" customWidth="1"/>
    <col min="7433" max="7435" width="14.28125" style="52" customWidth="1"/>
    <col min="7436" max="7436" width="14.7109375" style="52" customWidth="1"/>
    <col min="7437" max="7448" width="11.57421875" style="52" customWidth="1"/>
    <col min="7449" max="7486" width="11.57421875" style="52" hidden="1" customWidth="1"/>
    <col min="7487" max="7680" width="11.57421875" style="52" customWidth="1"/>
    <col min="7681" max="7681" width="3.7109375" style="52" customWidth="1"/>
    <col min="7682" max="7682" width="14.28125" style="52" customWidth="1"/>
    <col min="7683" max="7683" width="159.8515625" style="52" customWidth="1"/>
    <col min="7684" max="7685" width="12.140625" style="52" customWidth="1"/>
    <col min="7686" max="7686" width="8.00390625" style="52" customWidth="1"/>
    <col min="7687" max="7687" width="12.7109375" style="52" customWidth="1"/>
    <col min="7688" max="7688" width="12.00390625" style="52" customWidth="1"/>
    <col min="7689" max="7691" width="14.28125" style="52" customWidth="1"/>
    <col min="7692" max="7692" width="14.7109375" style="52" customWidth="1"/>
    <col min="7693" max="7704" width="11.57421875" style="52" customWidth="1"/>
    <col min="7705" max="7742" width="11.57421875" style="52" hidden="1" customWidth="1"/>
    <col min="7743" max="7936" width="11.57421875" style="52" customWidth="1"/>
    <col min="7937" max="7937" width="3.7109375" style="52" customWidth="1"/>
    <col min="7938" max="7938" width="14.28125" style="52" customWidth="1"/>
    <col min="7939" max="7939" width="159.8515625" style="52" customWidth="1"/>
    <col min="7940" max="7941" width="12.140625" style="52" customWidth="1"/>
    <col min="7942" max="7942" width="8.00390625" style="52" customWidth="1"/>
    <col min="7943" max="7943" width="12.7109375" style="52" customWidth="1"/>
    <col min="7944" max="7944" width="12.00390625" style="52" customWidth="1"/>
    <col min="7945" max="7947" width="14.28125" style="52" customWidth="1"/>
    <col min="7948" max="7948" width="14.7109375" style="52" customWidth="1"/>
    <col min="7949" max="7960" width="11.57421875" style="52" customWidth="1"/>
    <col min="7961" max="7998" width="11.57421875" style="52" hidden="1" customWidth="1"/>
    <col min="7999" max="8192" width="11.57421875" style="52" customWidth="1"/>
    <col min="8193" max="8193" width="3.7109375" style="52" customWidth="1"/>
    <col min="8194" max="8194" width="14.28125" style="52" customWidth="1"/>
    <col min="8195" max="8195" width="159.8515625" style="52" customWidth="1"/>
    <col min="8196" max="8197" width="12.140625" style="52" customWidth="1"/>
    <col min="8198" max="8198" width="8.00390625" style="52" customWidth="1"/>
    <col min="8199" max="8199" width="12.7109375" style="52" customWidth="1"/>
    <col min="8200" max="8200" width="12.00390625" style="52" customWidth="1"/>
    <col min="8201" max="8203" width="14.28125" style="52" customWidth="1"/>
    <col min="8204" max="8204" width="14.7109375" style="52" customWidth="1"/>
    <col min="8205" max="8216" width="11.57421875" style="52" customWidth="1"/>
    <col min="8217" max="8254" width="11.57421875" style="52" hidden="1" customWidth="1"/>
    <col min="8255" max="8448" width="11.57421875" style="52" customWidth="1"/>
    <col min="8449" max="8449" width="3.7109375" style="52" customWidth="1"/>
    <col min="8450" max="8450" width="14.28125" style="52" customWidth="1"/>
    <col min="8451" max="8451" width="159.8515625" style="52" customWidth="1"/>
    <col min="8452" max="8453" width="12.140625" style="52" customWidth="1"/>
    <col min="8454" max="8454" width="8.00390625" style="52" customWidth="1"/>
    <col min="8455" max="8455" width="12.7109375" style="52" customWidth="1"/>
    <col min="8456" max="8456" width="12.00390625" style="52" customWidth="1"/>
    <col min="8457" max="8459" width="14.28125" style="52" customWidth="1"/>
    <col min="8460" max="8460" width="14.7109375" style="52" customWidth="1"/>
    <col min="8461" max="8472" width="11.57421875" style="52" customWidth="1"/>
    <col min="8473" max="8510" width="11.57421875" style="52" hidden="1" customWidth="1"/>
    <col min="8511" max="8704" width="11.57421875" style="52" customWidth="1"/>
    <col min="8705" max="8705" width="3.7109375" style="52" customWidth="1"/>
    <col min="8706" max="8706" width="14.28125" style="52" customWidth="1"/>
    <col min="8707" max="8707" width="159.8515625" style="52" customWidth="1"/>
    <col min="8708" max="8709" width="12.140625" style="52" customWidth="1"/>
    <col min="8710" max="8710" width="8.00390625" style="52" customWidth="1"/>
    <col min="8711" max="8711" width="12.7109375" style="52" customWidth="1"/>
    <col min="8712" max="8712" width="12.00390625" style="52" customWidth="1"/>
    <col min="8713" max="8715" width="14.28125" style="52" customWidth="1"/>
    <col min="8716" max="8716" width="14.7109375" style="52" customWidth="1"/>
    <col min="8717" max="8728" width="11.57421875" style="52" customWidth="1"/>
    <col min="8729" max="8766" width="11.57421875" style="52" hidden="1" customWidth="1"/>
    <col min="8767" max="8960" width="11.57421875" style="52" customWidth="1"/>
    <col min="8961" max="8961" width="3.7109375" style="52" customWidth="1"/>
    <col min="8962" max="8962" width="14.28125" style="52" customWidth="1"/>
    <col min="8963" max="8963" width="159.8515625" style="52" customWidth="1"/>
    <col min="8964" max="8965" width="12.140625" style="52" customWidth="1"/>
    <col min="8966" max="8966" width="8.00390625" style="52" customWidth="1"/>
    <col min="8967" max="8967" width="12.7109375" style="52" customWidth="1"/>
    <col min="8968" max="8968" width="12.00390625" style="52" customWidth="1"/>
    <col min="8969" max="8971" width="14.28125" style="52" customWidth="1"/>
    <col min="8972" max="8972" width="14.7109375" style="52" customWidth="1"/>
    <col min="8973" max="8984" width="11.57421875" style="52" customWidth="1"/>
    <col min="8985" max="9022" width="11.57421875" style="52" hidden="1" customWidth="1"/>
    <col min="9023" max="9216" width="11.57421875" style="52" customWidth="1"/>
    <col min="9217" max="9217" width="3.7109375" style="52" customWidth="1"/>
    <col min="9218" max="9218" width="14.28125" style="52" customWidth="1"/>
    <col min="9219" max="9219" width="159.8515625" style="52" customWidth="1"/>
    <col min="9220" max="9221" width="12.140625" style="52" customWidth="1"/>
    <col min="9222" max="9222" width="8.00390625" style="52" customWidth="1"/>
    <col min="9223" max="9223" width="12.7109375" style="52" customWidth="1"/>
    <col min="9224" max="9224" width="12.00390625" style="52" customWidth="1"/>
    <col min="9225" max="9227" width="14.28125" style="52" customWidth="1"/>
    <col min="9228" max="9228" width="14.7109375" style="52" customWidth="1"/>
    <col min="9229" max="9240" width="11.57421875" style="52" customWidth="1"/>
    <col min="9241" max="9278" width="11.57421875" style="52" hidden="1" customWidth="1"/>
    <col min="9279" max="9472" width="11.57421875" style="52" customWidth="1"/>
    <col min="9473" max="9473" width="3.7109375" style="52" customWidth="1"/>
    <col min="9474" max="9474" width="14.28125" style="52" customWidth="1"/>
    <col min="9475" max="9475" width="159.8515625" style="52" customWidth="1"/>
    <col min="9476" max="9477" width="12.140625" style="52" customWidth="1"/>
    <col min="9478" max="9478" width="8.00390625" style="52" customWidth="1"/>
    <col min="9479" max="9479" width="12.7109375" style="52" customWidth="1"/>
    <col min="9480" max="9480" width="12.00390625" style="52" customWidth="1"/>
    <col min="9481" max="9483" width="14.28125" style="52" customWidth="1"/>
    <col min="9484" max="9484" width="14.7109375" style="52" customWidth="1"/>
    <col min="9485" max="9496" width="11.57421875" style="52" customWidth="1"/>
    <col min="9497" max="9534" width="11.57421875" style="52" hidden="1" customWidth="1"/>
    <col min="9535" max="9728" width="11.57421875" style="52" customWidth="1"/>
    <col min="9729" max="9729" width="3.7109375" style="52" customWidth="1"/>
    <col min="9730" max="9730" width="14.28125" style="52" customWidth="1"/>
    <col min="9731" max="9731" width="159.8515625" style="52" customWidth="1"/>
    <col min="9732" max="9733" width="12.140625" style="52" customWidth="1"/>
    <col min="9734" max="9734" width="8.00390625" style="52" customWidth="1"/>
    <col min="9735" max="9735" width="12.7109375" style="52" customWidth="1"/>
    <col min="9736" max="9736" width="12.00390625" style="52" customWidth="1"/>
    <col min="9737" max="9739" width="14.28125" style="52" customWidth="1"/>
    <col min="9740" max="9740" width="14.7109375" style="52" customWidth="1"/>
    <col min="9741" max="9752" width="11.57421875" style="52" customWidth="1"/>
    <col min="9753" max="9790" width="11.57421875" style="52" hidden="1" customWidth="1"/>
    <col min="9791" max="9984" width="11.57421875" style="52" customWidth="1"/>
    <col min="9985" max="9985" width="3.7109375" style="52" customWidth="1"/>
    <col min="9986" max="9986" width="14.28125" style="52" customWidth="1"/>
    <col min="9987" max="9987" width="159.8515625" style="52" customWidth="1"/>
    <col min="9988" max="9989" width="12.140625" style="52" customWidth="1"/>
    <col min="9990" max="9990" width="8.00390625" style="52" customWidth="1"/>
    <col min="9991" max="9991" width="12.7109375" style="52" customWidth="1"/>
    <col min="9992" max="9992" width="12.00390625" style="52" customWidth="1"/>
    <col min="9993" max="9995" width="14.28125" style="52" customWidth="1"/>
    <col min="9996" max="9996" width="14.7109375" style="52" customWidth="1"/>
    <col min="9997" max="10008" width="11.57421875" style="52" customWidth="1"/>
    <col min="10009" max="10046" width="11.57421875" style="52" hidden="1" customWidth="1"/>
    <col min="10047" max="10240" width="11.57421875" style="52" customWidth="1"/>
    <col min="10241" max="10241" width="3.7109375" style="52" customWidth="1"/>
    <col min="10242" max="10242" width="14.28125" style="52" customWidth="1"/>
    <col min="10243" max="10243" width="159.8515625" style="52" customWidth="1"/>
    <col min="10244" max="10245" width="12.140625" style="52" customWidth="1"/>
    <col min="10246" max="10246" width="8.00390625" style="52" customWidth="1"/>
    <col min="10247" max="10247" width="12.7109375" style="52" customWidth="1"/>
    <col min="10248" max="10248" width="12.00390625" style="52" customWidth="1"/>
    <col min="10249" max="10251" width="14.28125" style="52" customWidth="1"/>
    <col min="10252" max="10252" width="14.7109375" style="52" customWidth="1"/>
    <col min="10253" max="10264" width="11.57421875" style="52" customWidth="1"/>
    <col min="10265" max="10302" width="11.57421875" style="52" hidden="1" customWidth="1"/>
    <col min="10303" max="10496" width="11.57421875" style="52" customWidth="1"/>
    <col min="10497" max="10497" width="3.7109375" style="52" customWidth="1"/>
    <col min="10498" max="10498" width="14.28125" style="52" customWidth="1"/>
    <col min="10499" max="10499" width="159.8515625" style="52" customWidth="1"/>
    <col min="10500" max="10501" width="12.140625" style="52" customWidth="1"/>
    <col min="10502" max="10502" width="8.00390625" style="52" customWidth="1"/>
    <col min="10503" max="10503" width="12.7109375" style="52" customWidth="1"/>
    <col min="10504" max="10504" width="12.00390625" style="52" customWidth="1"/>
    <col min="10505" max="10507" width="14.28125" style="52" customWidth="1"/>
    <col min="10508" max="10508" width="14.7109375" style="52" customWidth="1"/>
    <col min="10509" max="10520" width="11.57421875" style="52" customWidth="1"/>
    <col min="10521" max="10558" width="11.57421875" style="52" hidden="1" customWidth="1"/>
    <col min="10559" max="10752" width="11.57421875" style="52" customWidth="1"/>
    <col min="10753" max="10753" width="3.7109375" style="52" customWidth="1"/>
    <col min="10754" max="10754" width="14.28125" style="52" customWidth="1"/>
    <col min="10755" max="10755" width="159.8515625" style="52" customWidth="1"/>
    <col min="10756" max="10757" width="12.140625" style="52" customWidth="1"/>
    <col min="10758" max="10758" width="8.00390625" style="52" customWidth="1"/>
    <col min="10759" max="10759" width="12.7109375" style="52" customWidth="1"/>
    <col min="10760" max="10760" width="12.00390625" style="52" customWidth="1"/>
    <col min="10761" max="10763" width="14.28125" style="52" customWidth="1"/>
    <col min="10764" max="10764" width="14.7109375" style="52" customWidth="1"/>
    <col min="10765" max="10776" width="11.57421875" style="52" customWidth="1"/>
    <col min="10777" max="10814" width="11.57421875" style="52" hidden="1" customWidth="1"/>
    <col min="10815" max="11008" width="11.57421875" style="52" customWidth="1"/>
    <col min="11009" max="11009" width="3.7109375" style="52" customWidth="1"/>
    <col min="11010" max="11010" width="14.28125" style="52" customWidth="1"/>
    <col min="11011" max="11011" width="159.8515625" style="52" customWidth="1"/>
    <col min="11012" max="11013" width="12.140625" style="52" customWidth="1"/>
    <col min="11014" max="11014" width="8.00390625" style="52" customWidth="1"/>
    <col min="11015" max="11015" width="12.7109375" style="52" customWidth="1"/>
    <col min="11016" max="11016" width="12.00390625" style="52" customWidth="1"/>
    <col min="11017" max="11019" width="14.28125" style="52" customWidth="1"/>
    <col min="11020" max="11020" width="14.7109375" style="52" customWidth="1"/>
    <col min="11021" max="11032" width="11.57421875" style="52" customWidth="1"/>
    <col min="11033" max="11070" width="11.57421875" style="52" hidden="1" customWidth="1"/>
    <col min="11071" max="11264" width="11.57421875" style="52" customWidth="1"/>
    <col min="11265" max="11265" width="3.7109375" style="52" customWidth="1"/>
    <col min="11266" max="11266" width="14.28125" style="52" customWidth="1"/>
    <col min="11267" max="11267" width="159.8515625" style="52" customWidth="1"/>
    <col min="11268" max="11269" width="12.140625" style="52" customWidth="1"/>
    <col min="11270" max="11270" width="8.00390625" style="52" customWidth="1"/>
    <col min="11271" max="11271" width="12.7109375" style="52" customWidth="1"/>
    <col min="11272" max="11272" width="12.00390625" style="52" customWidth="1"/>
    <col min="11273" max="11275" width="14.28125" style="52" customWidth="1"/>
    <col min="11276" max="11276" width="14.7109375" style="52" customWidth="1"/>
    <col min="11277" max="11288" width="11.57421875" style="52" customWidth="1"/>
    <col min="11289" max="11326" width="11.57421875" style="52" hidden="1" customWidth="1"/>
    <col min="11327" max="11520" width="11.57421875" style="52" customWidth="1"/>
    <col min="11521" max="11521" width="3.7109375" style="52" customWidth="1"/>
    <col min="11522" max="11522" width="14.28125" style="52" customWidth="1"/>
    <col min="11523" max="11523" width="159.8515625" style="52" customWidth="1"/>
    <col min="11524" max="11525" width="12.140625" style="52" customWidth="1"/>
    <col min="11526" max="11526" width="8.00390625" style="52" customWidth="1"/>
    <col min="11527" max="11527" width="12.7109375" style="52" customWidth="1"/>
    <col min="11528" max="11528" width="12.00390625" style="52" customWidth="1"/>
    <col min="11529" max="11531" width="14.28125" style="52" customWidth="1"/>
    <col min="11532" max="11532" width="14.7109375" style="52" customWidth="1"/>
    <col min="11533" max="11544" width="11.57421875" style="52" customWidth="1"/>
    <col min="11545" max="11582" width="11.57421875" style="52" hidden="1" customWidth="1"/>
    <col min="11583" max="11776" width="11.57421875" style="52" customWidth="1"/>
    <col min="11777" max="11777" width="3.7109375" style="52" customWidth="1"/>
    <col min="11778" max="11778" width="14.28125" style="52" customWidth="1"/>
    <col min="11779" max="11779" width="159.8515625" style="52" customWidth="1"/>
    <col min="11780" max="11781" width="12.140625" style="52" customWidth="1"/>
    <col min="11782" max="11782" width="8.00390625" style="52" customWidth="1"/>
    <col min="11783" max="11783" width="12.7109375" style="52" customWidth="1"/>
    <col min="11784" max="11784" width="12.00390625" style="52" customWidth="1"/>
    <col min="11785" max="11787" width="14.28125" style="52" customWidth="1"/>
    <col min="11788" max="11788" width="14.7109375" style="52" customWidth="1"/>
    <col min="11789" max="11800" width="11.57421875" style="52" customWidth="1"/>
    <col min="11801" max="11838" width="11.57421875" style="52" hidden="1" customWidth="1"/>
    <col min="11839" max="12032" width="11.57421875" style="52" customWidth="1"/>
    <col min="12033" max="12033" width="3.7109375" style="52" customWidth="1"/>
    <col min="12034" max="12034" width="14.28125" style="52" customWidth="1"/>
    <col min="12035" max="12035" width="159.8515625" style="52" customWidth="1"/>
    <col min="12036" max="12037" width="12.140625" style="52" customWidth="1"/>
    <col min="12038" max="12038" width="8.00390625" style="52" customWidth="1"/>
    <col min="12039" max="12039" width="12.7109375" style="52" customWidth="1"/>
    <col min="12040" max="12040" width="12.00390625" style="52" customWidth="1"/>
    <col min="12041" max="12043" width="14.28125" style="52" customWidth="1"/>
    <col min="12044" max="12044" width="14.7109375" style="52" customWidth="1"/>
    <col min="12045" max="12056" width="11.57421875" style="52" customWidth="1"/>
    <col min="12057" max="12094" width="11.57421875" style="52" hidden="1" customWidth="1"/>
    <col min="12095" max="12288" width="11.57421875" style="52" customWidth="1"/>
    <col min="12289" max="12289" width="3.7109375" style="52" customWidth="1"/>
    <col min="12290" max="12290" width="14.28125" style="52" customWidth="1"/>
    <col min="12291" max="12291" width="159.8515625" style="52" customWidth="1"/>
    <col min="12292" max="12293" width="12.140625" style="52" customWidth="1"/>
    <col min="12294" max="12294" width="8.00390625" style="52" customWidth="1"/>
    <col min="12295" max="12295" width="12.7109375" style="52" customWidth="1"/>
    <col min="12296" max="12296" width="12.00390625" style="52" customWidth="1"/>
    <col min="12297" max="12299" width="14.28125" style="52" customWidth="1"/>
    <col min="12300" max="12300" width="14.7109375" style="52" customWidth="1"/>
    <col min="12301" max="12312" width="11.57421875" style="52" customWidth="1"/>
    <col min="12313" max="12350" width="11.57421875" style="52" hidden="1" customWidth="1"/>
    <col min="12351" max="12544" width="11.57421875" style="52" customWidth="1"/>
    <col min="12545" max="12545" width="3.7109375" style="52" customWidth="1"/>
    <col min="12546" max="12546" width="14.28125" style="52" customWidth="1"/>
    <col min="12547" max="12547" width="159.8515625" style="52" customWidth="1"/>
    <col min="12548" max="12549" width="12.140625" style="52" customWidth="1"/>
    <col min="12550" max="12550" width="8.00390625" style="52" customWidth="1"/>
    <col min="12551" max="12551" width="12.7109375" style="52" customWidth="1"/>
    <col min="12552" max="12552" width="12.00390625" style="52" customWidth="1"/>
    <col min="12553" max="12555" width="14.28125" style="52" customWidth="1"/>
    <col min="12556" max="12556" width="14.7109375" style="52" customWidth="1"/>
    <col min="12557" max="12568" width="11.57421875" style="52" customWidth="1"/>
    <col min="12569" max="12606" width="11.57421875" style="52" hidden="1" customWidth="1"/>
    <col min="12607" max="12800" width="11.57421875" style="52" customWidth="1"/>
    <col min="12801" max="12801" width="3.7109375" style="52" customWidth="1"/>
    <col min="12802" max="12802" width="14.28125" style="52" customWidth="1"/>
    <col min="12803" max="12803" width="159.8515625" style="52" customWidth="1"/>
    <col min="12804" max="12805" width="12.140625" style="52" customWidth="1"/>
    <col min="12806" max="12806" width="8.00390625" style="52" customWidth="1"/>
    <col min="12807" max="12807" width="12.7109375" style="52" customWidth="1"/>
    <col min="12808" max="12808" width="12.00390625" style="52" customWidth="1"/>
    <col min="12809" max="12811" width="14.28125" style="52" customWidth="1"/>
    <col min="12812" max="12812" width="14.7109375" style="52" customWidth="1"/>
    <col min="12813" max="12824" width="11.57421875" style="52" customWidth="1"/>
    <col min="12825" max="12862" width="11.57421875" style="52" hidden="1" customWidth="1"/>
    <col min="12863" max="13056" width="11.57421875" style="52" customWidth="1"/>
    <col min="13057" max="13057" width="3.7109375" style="52" customWidth="1"/>
    <col min="13058" max="13058" width="14.28125" style="52" customWidth="1"/>
    <col min="13059" max="13059" width="159.8515625" style="52" customWidth="1"/>
    <col min="13060" max="13061" width="12.140625" style="52" customWidth="1"/>
    <col min="13062" max="13062" width="8.00390625" style="52" customWidth="1"/>
    <col min="13063" max="13063" width="12.7109375" style="52" customWidth="1"/>
    <col min="13064" max="13064" width="12.00390625" style="52" customWidth="1"/>
    <col min="13065" max="13067" width="14.28125" style="52" customWidth="1"/>
    <col min="13068" max="13068" width="14.7109375" style="52" customWidth="1"/>
    <col min="13069" max="13080" width="11.57421875" style="52" customWidth="1"/>
    <col min="13081" max="13118" width="11.57421875" style="52" hidden="1" customWidth="1"/>
    <col min="13119" max="13312" width="11.57421875" style="52" customWidth="1"/>
    <col min="13313" max="13313" width="3.7109375" style="52" customWidth="1"/>
    <col min="13314" max="13314" width="14.28125" style="52" customWidth="1"/>
    <col min="13315" max="13315" width="159.8515625" style="52" customWidth="1"/>
    <col min="13316" max="13317" width="12.140625" style="52" customWidth="1"/>
    <col min="13318" max="13318" width="8.00390625" style="52" customWidth="1"/>
    <col min="13319" max="13319" width="12.7109375" style="52" customWidth="1"/>
    <col min="13320" max="13320" width="12.00390625" style="52" customWidth="1"/>
    <col min="13321" max="13323" width="14.28125" style="52" customWidth="1"/>
    <col min="13324" max="13324" width="14.7109375" style="52" customWidth="1"/>
    <col min="13325" max="13336" width="11.57421875" style="52" customWidth="1"/>
    <col min="13337" max="13374" width="11.57421875" style="52" hidden="1" customWidth="1"/>
    <col min="13375" max="13568" width="11.57421875" style="52" customWidth="1"/>
    <col min="13569" max="13569" width="3.7109375" style="52" customWidth="1"/>
    <col min="13570" max="13570" width="14.28125" style="52" customWidth="1"/>
    <col min="13571" max="13571" width="159.8515625" style="52" customWidth="1"/>
    <col min="13572" max="13573" width="12.140625" style="52" customWidth="1"/>
    <col min="13574" max="13574" width="8.00390625" style="52" customWidth="1"/>
    <col min="13575" max="13575" width="12.7109375" style="52" customWidth="1"/>
    <col min="13576" max="13576" width="12.00390625" style="52" customWidth="1"/>
    <col min="13577" max="13579" width="14.28125" style="52" customWidth="1"/>
    <col min="13580" max="13580" width="14.7109375" style="52" customWidth="1"/>
    <col min="13581" max="13592" width="11.57421875" style="52" customWidth="1"/>
    <col min="13593" max="13630" width="11.57421875" style="52" hidden="1" customWidth="1"/>
    <col min="13631" max="13824" width="11.57421875" style="52" customWidth="1"/>
    <col min="13825" max="13825" width="3.7109375" style="52" customWidth="1"/>
    <col min="13826" max="13826" width="14.28125" style="52" customWidth="1"/>
    <col min="13827" max="13827" width="159.8515625" style="52" customWidth="1"/>
    <col min="13828" max="13829" width="12.140625" style="52" customWidth="1"/>
    <col min="13830" max="13830" width="8.00390625" style="52" customWidth="1"/>
    <col min="13831" max="13831" width="12.7109375" style="52" customWidth="1"/>
    <col min="13832" max="13832" width="12.00390625" style="52" customWidth="1"/>
    <col min="13833" max="13835" width="14.28125" style="52" customWidth="1"/>
    <col min="13836" max="13836" width="14.7109375" style="52" customWidth="1"/>
    <col min="13837" max="13848" width="11.57421875" style="52" customWidth="1"/>
    <col min="13849" max="13886" width="11.57421875" style="52" hidden="1" customWidth="1"/>
    <col min="13887" max="14080" width="11.57421875" style="52" customWidth="1"/>
    <col min="14081" max="14081" width="3.7109375" style="52" customWidth="1"/>
    <col min="14082" max="14082" width="14.28125" style="52" customWidth="1"/>
    <col min="14083" max="14083" width="159.8515625" style="52" customWidth="1"/>
    <col min="14084" max="14085" width="12.140625" style="52" customWidth="1"/>
    <col min="14086" max="14086" width="8.00390625" style="52" customWidth="1"/>
    <col min="14087" max="14087" width="12.7109375" style="52" customWidth="1"/>
    <col min="14088" max="14088" width="12.00390625" style="52" customWidth="1"/>
    <col min="14089" max="14091" width="14.28125" style="52" customWidth="1"/>
    <col min="14092" max="14092" width="14.7109375" style="52" customWidth="1"/>
    <col min="14093" max="14104" width="11.57421875" style="52" customWidth="1"/>
    <col min="14105" max="14142" width="11.57421875" style="52" hidden="1" customWidth="1"/>
    <col min="14143" max="14336" width="11.57421875" style="52" customWidth="1"/>
    <col min="14337" max="14337" width="3.7109375" style="52" customWidth="1"/>
    <col min="14338" max="14338" width="14.28125" style="52" customWidth="1"/>
    <col min="14339" max="14339" width="159.8515625" style="52" customWidth="1"/>
    <col min="14340" max="14341" width="12.140625" style="52" customWidth="1"/>
    <col min="14342" max="14342" width="8.00390625" style="52" customWidth="1"/>
    <col min="14343" max="14343" width="12.7109375" style="52" customWidth="1"/>
    <col min="14344" max="14344" width="12.00390625" style="52" customWidth="1"/>
    <col min="14345" max="14347" width="14.28125" style="52" customWidth="1"/>
    <col min="14348" max="14348" width="14.7109375" style="52" customWidth="1"/>
    <col min="14349" max="14360" width="11.57421875" style="52" customWidth="1"/>
    <col min="14361" max="14398" width="11.57421875" style="52" hidden="1" customWidth="1"/>
    <col min="14399" max="14592" width="11.57421875" style="52" customWidth="1"/>
    <col min="14593" max="14593" width="3.7109375" style="52" customWidth="1"/>
    <col min="14594" max="14594" width="14.28125" style="52" customWidth="1"/>
    <col min="14595" max="14595" width="159.8515625" style="52" customWidth="1"/>
    <col min="14596" max="14597" width="12.140625" style="52" customWidth="1"/>
    <col min="14598" max="14598" width="8.00390625" style="52" customWidth="1"/>
    <col min="14599" max="14599" width="12.7109375" style="52" customWidth="1"/>
    <col min="14600" max="14600" width="12.00390625" style="52" customWidth="1"/>
    <col min="14601" max="14603" width="14.28125" style="52" customWidth="1"/>
    <col min="14604" max="14604" width="14.7109375" style="52" customWidth="1"/>
    <col min="14605" max="14616" width="11.57421875" style="52" customWidth="1"/>
    <col min="14617" max="14654" width="11.57421875" style="52" hidden="1" customWidth="1"/>
    <col min="14655" max="14848" width="11.57421875" style="52" customWidth="1"/>
    <col min="14849" max="14849" width="3.7109375" style="52" customWidth="1"/>
    <col min="14850" max="14850" width="14.28125" style="52" customWidth="1"/>
    <col min="14851" max="14851" width="159.8515625" style="52" customWidth="1"/>
    <col min="14852" max="14853" width="12.140625" style="52" customWidth="1"/>
    <col min="14854" max="14854" width="8.00390625" style="52" customWidth="1"/>
    <col min="14855" max="14855" width="12.7109375" style="52" customWidth="1"/>
    <col min="14856" max="14856" width="12.00390625" style="52" customWidth="1"/>
    <col min="14857" max="14859" width="14.28125" style="52" customWidth="1"/>
    <col min="14860" max="14860" width="14.7109375" style="52" customWidth="1"/>
    <col min="14861" max="14872" width="11.57421875" style="52" customWidth="1"/>
    <col min="14873" max="14910" width="11.57421875" style="52" hidden="1" customWidth="1"/>
    <col min="14911" max="15104" width="11.57421875" style="52" customWidth="1"/>
    <col min="15105" max="15105" width="3.7109375" style="52" customWidth="1"/>
    <col min="15106" max="15106" width="14.28125" style="52" customWidth="1"/>
    <col min="15107" max="15107" width="159.8515625" style="52" customWidth="1"/>
    <col min="15108" max="15109" width="12.140625" style="52" customWidth="1"/>
    <col min="15110" max="15110" width="8.00390625" style="52" customWidth="1"/>
    <col min="15111" max="15111" width="12.7109375" style="52" customWidth="1"/>
    <col min="15112" max="15112" width="12.00390625" style="52" customWidth="1"/>
    <col min="15113" max="15115" width="14.28125" style="52" customWidth="1"/>
    <col min="15116" max="15116" width="14.7109375" style="52" customWidth="1"/>
    <col min="15117" max="15128" width="11.57421875" style="52" customWidth="1"/>
    <col min="15129" max="15166" width="11.57421875" style="52" hidden="1" customWidth="1"/>
    <col min="15167" max="15360" width="11.57421875" style="52" customWidth="1"/>
    <col min="15361" max="15361" width="3.7109375" style="52" customWidth="1"/>
    <col min="15362" max="15362" width="14.28125" style="52" customWidth="1"/>
    <col min="15363" max="15363" width="159.8515625" style="52" customWidth="1"/>
    <col min="15364" max="15365" width="12.140625" style="52" customWidth="1"/>
    <col min="15366" max="15366" width="8.00390625" style="52" customWidth="1"/>
    <col min="15367" max="15367" width="12.7109375" style="52" customWidth="1"/>
    <col min="15368" max="15368" width="12.00390625" style="52" customWidth="1"/>
    <col min="15369" max="15371" width="14.28125" style="52" customWidth="1"/>
    <col min="15372" max="15372" width="14.7109375" style="52" customWidth="1"/>
    <col min="15373" max="15384" width="11.57421875" style="52" customWidth="1"/>
    <col min="15385" max="15422" width="11.57421875" style="52" hidden="1" customWidth="1"/>
    <col min="15423" max="15616" width="11.57421875" style="52" customWidth="1"/>
    <col min="15617" max="15617" width="3.7109375" style="52" customWidth="1"/>
    <col min="15618" max="15618" width="14.28125" style="52" customWidth="1"/>
    <col min="15619" max="15619" width="159.8515625" style="52" customWidth="1"/>
    <col min="15620" max="15621" width="12.140625" style="52" customWidth="1"/>
    <col min="15622" max="15622" width="8.00390625" style="52" customWidth="1"/>
    <col min="15623" max="15623" width="12.7109375" style="52" customWidth="1"/>
    <col min="15624" max="15624" width="12.00390625" style="52" customWidth="1"/>
    <col min="15625" max="15627" width="14.28125" style="52" customWidth="1"/>
    <col min="15628" max="15628" width="14.7109375" style="52" customWidth="1"/>
    <col min="15629" max="15640" width="11.57421875" style="52" customWidth="1"/>
    <col min="15641" max="15678" width="11.57421875" style="52" hidden="1" customWidth="1"/>
    <col min="15679" max="15872" width="11.57421875" style="52" customWidth="1"/>
    <col min="15873" max="15873" width="3.7109375" style="52" customWidth="1"/>
    <col min="15874" max="15874" width="14.28125" style="52" customWidth="1"/>
    <col min="15875" max="15875" width="159.8515625" style="52" customWidth="1"/>
    <col min="15876" max="15877" width="12.140625" style="52" customWidth="1"/>
    <col min="15878" max="15878" width="8.00390625" style="52" customWidth="1"/>
    <col min="15879" max="15879" width="12.7109375" style="52" customWidth="1"/>
    <col min="15880" max="15880" width="12.00390625" style="52" customWidth="1"/>
    <col min="15881" max="15883" width="14.28125" style="52" customWidth="1"/>
    <col min="15884" max="15884" width="14.7109375" style="52" customWidth="1"/>
    <col min="15885" max="15896" width="11.57421875" style="52" customWidth="1"/>
    <col min="15897" max="15934" width="11.57421875" style="52" hidden="1" customWidth="1"/>
    <col min="15935" max="16128" width="11.57421875" style="52" customWidth="1"/>
    <col min="16129" max="16129" width="3.7109375" style="52" customWidth="1"/>
    <col min="16130" max="16130" width="14.28125" style="52" customWidth="1"/>
    <col min="16131" max="16131" width="159.8515625" style="52" customWidth="1"/>
    <col min="16132" max="16133" width="12.140625" style="52" customWidth="1"/>
    <col min="16134" max="16134" width="8.00390625" style="52" customWidth="1"/>
    <col min="16135" max="16135" width="12.7109375" style="52" customWidth="1"/>
    <col min="16136" max="16136" width="12.00390625" style="52" customWidth="1"/>
    <col min="16137" max="16139" width="14.28125" style="52" customWidth="1"/>
    <col min="16140" max="16140" width="14.7109375" style="52" customWidth="1"/>
    <col min="16141" max="16152" width="11.57421875" style="52" customWidth="1"/>
    <col min="16153" max="16190" width="11.57421875" style="52" hidden="1" customWidth="1"/>
    <col min="16191" max="16384" width="11.57421875" style="52" customWidth="1"/>
  </cols>
  <sheetData>
    <row r="1" spans="1:12" ht="73.05" customHeight="1">
      <c r="A1" s="698" t="s">
        <v>68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</row>
    <row r="2" spans="1:13" ht="15">
      <c r="A2" s="700" t="s">
        <v>13</v>
      </c>
      <c r="B2" s="701"/>
      <c r="C2" s="702" t="s">
        <v>14</v>
      </c>
      <c r="D2" s="704" t="s">
        <v>69</v>
      </c>
      <c r="E2" s="701"/>
      <c r="F2" s="704" t="s">
        <v>70</v>
      </c>
      <c r="G2" s="701"/>
      <c r="H2" s="705" t="s">
        <v>15</v>
      </c>
      <c r="I2" s="705" t="s">
        <v>71</v>
      </c>
      <c r="J2" s="701"/>
      <c r="K2" s="701"/>
      <c r="L2" s="706"/>
      <c r="M2" s="53"/>
    </row>
    <row r="3" spans="1:13" ht="15">
      <c r="A3" s="694"/>
      <c r="B3" s="693"/>
      <c r="C3" s="703"/>
      <c r="D3" s="693"/>
      <c r="E3" s="693"/>
      <c r="F3" s="693"/>
      <c r="G3" s="693"/>
      <c r="H3" s="693"/>
      <c r="I3" s="693"/>
      <c r="J3" s="693"/>
      <c r="K3" s="693"/>
      <c r="L3" s="697"/>
      <c r="M3" s="53"/>
    </row>
    <row r="4" spans="1:13" ht="15">
      <c r="A4" s="692" t="s">
        <v>26</v>
      </c>
      <c r="B4" s="693"/>
      <c r="C4" s="695" t="s">
        <v>4</v>
      </c>
      <c r="D4" s="696" t="s">
        <v>30</v>
      </c>
      <c r="E4" s="693"/>
      <c r="F4" s="696" t="s">
        <v>70</v>
      </c>
      <c r="G4" s="693"/>
      <c r="H4" s="695" t="s">
        <v>27</v>
      </c>
      <c r="I4" s="695" t="s">
        <v>72</v>
      </c>
      <c r="J4" s="693"/>
      <c r="K4" s="693"/>
      <c r="L4" s="697"/>
      <c r="M4" s="53"/>
    </row>
    <row r="5" spans="1:13" ht="15">
      <c r="A5" s="694"/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7"/>
      <c r="M5" s="53"/>
    </row>
    <row r="6" spans="1:13" ht="15">
      <c r="A6" s="692" t="s">
        <v>16</v>
      </c>
      <c r="B6" s="693"/>
      <c r="C6" s="695" t="s">
        <v>17</v>
      </c>
      <c r="D6" s="696" t="s">
        <v>31</v>
      </c>
      <c r="E6" s="693"/>
      <c r="F6" s="696" t="s">
        <v>70</v>
      </c>
      <c r="G6" s="693"/>
      <c r="H6" s="695" t="s">
        <v>29</v>
      </c>
      <c r="I6" s="696" t="s">
        <v>73</v>
      </c>
      <c r="J6" s="693"/>
      <c r="K6" s="693"/>
      <c r="L6" s="697"/>
      <c r="M6" s="53"/>
    </row>
    <row r="7" spans="1:13" ht="15">
      <c r="A7" s="694"/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7"/>
      <c r="M7" s="53"/>
    </row>
    <row r="8" spans="1:13" ht="15">
      <c r="A8" s="692" t="s">
        <v>34</v>
      </c>
      <c r="B8" s="693"/>
      <c r="C8" s="695" t="s">
        <v>70</v>
      </c>
      <c r="D8" s="696" t="s">
        <v>74</v>
      </c>
      <c r="E8" s="693"/>
      <c r="F8" s="696" t="s">
        <v>75</v>
      </c>
      <c r="G8" s="693"/>
      <c r="H8" s="695" t="s">
        <v>35</v>
      </c>
      <c r="I8" s="695" t="s">
        <v>76</v>
      </c>
      <c r="J8" s="693"/>
      <c r="K8" s="693"/>
      <c r="L8" s="697"/>
      <c r="M8" s="53"/>
    </row>
    <row r="9" spans="1:13" ht="13.8" thickBo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9"/>
      <c r="M9" s="53"/>
    </row>
    <row r="10" spans="1:13" ht="15">
      <c r="A10" s="54" t="s">
        <v>77</v>
      </c>
      <c r="B10" s="55" t="s">
        <v>78</v>
      </c>
      <c r="C10" s="714" t="s">
        <v>79</v>
      </c>
      <c r="D10" s="715"/>
      <c r="E10" s="716"/>
      <c r="F10" s="55" t="s">
        <v>80</v>
      </c>
      <c r="G10" s="56" t="s">
        <v>81</v>
      </c>
      <c r="H10" s="57" t="s">
        <v>82</v>
      </c>
      <c r="I10" s="717" t="s">
        <v>83</v>
      </c>
      <c r="J10" s="718"/>
      <c r="K10" s="719"/>
      <c r="L10" s="58" t="s">
        <v>84</v>
      </c>
      <c r="M10" s="59"/>
    </row>
    <row r="11" spans="1:62" ht="13.8" thickBot="1">
      <c r="A11" s="60" t="s">
        <v>70</v>
      </c>
      <c r="B11" s="61" t="s">
        <v>70</v>
      </c>
      <c r="C11" s="720" t="s">
        <v>85</v>
      </c>
      <c r="D11" s="721"/>
      <c r="E11" s="722"/>
      <c r="F11" s="61" t="s">
        <v>70</v>
      </c>
      <c r="G11" s="61" t="s">
        <v>70</v>
      </c>
      <c r="H11" s="62" t="s">
        <v>86</v>
      </c>
      <c r="I11" s="63" t="s">
        <v>87</v>
      </c>
      <c r="J11" s="64" t="s">
        <v>47</v>
      </c>
      <c r="K11" s="65" t="s">
        <v>88</v>
      </c>
      <c r="L11" s="66" t="s">
        <v>89</v>
      </c>
      <c r="M11" s="59"/>
      <c r="Z11" s="67" t="s">
        <v>90</v>
      </c>
      <c r="AA11" s="67" t="s">
        <v>91</v>
      </c>
      <c r="AB11" s="67" t="s">
        <v>92</v>
      </c>
      <c r="AC11" s="67" t="s">
        <v>93</v>
      </c>
      <c r="AD11" s="67" t="s">
        <v>94</v>
      </c>
      <c r="AE11" s="67" t="s">
        <v>95</v>
      </c>
      <c r="AF11" s="67" t="s">
        <v>96</v>
      </c>
      <c r="AG11" s="67" t="s">
        <v>97</v>
      </c>
      <c r="AH11" s="67" t="s">
        <v>98</v>
      </c>
      <c r="BH11" s="67" t="s">
        <v>99</v>
      </c>
      <c r="BI11" s="67" t="s">
        <v>100</v>
      </c>
      <c r="BJ11" s="67" t="s">
        <v>101</v>
      </c>
    </row>
    <row r="12" spans="1:12" ht="15">
      <c r="A12" s="44"/>
      <c r="B12" s="45"/>
      <c r="C12" s="723" t="s">
        <v>102</v>
      </c>
      <c r="D12" s="724"/>
      <c r="E12" s="724"/>
      <c r="F12" s="44" t="s">
        <v>70</v>
      </c>
      <c r="G12" s="44" t="s">
        <v>70</v>
      </c>
      <c r="H12" s="44" t="s">
        <v>70</v>
      </c>
      <c r="I12" s="46">
        <f>I13+I19</f>
        <v>0</v>
      </c>
      <c r="J12" s="46">
        <f>J13+J19</f>
        <v>0</v>
      </c>
      <c r="K12" s="46">
        <f>K13+K19</f>
        <v>0</v>
      </c>
      <c r="L12" s="47"/>
    </row>
    <row r="13" spans="1:47" ht="15">
      <c r="A13" s="88"/>
      <c r="B13" s="89" t="s">
        <v>103</v>
      </c>
      <c r="C13" s="710" t="s">
        <v>104</v>
      </c>
      <c r="D13" s="711"/>
      <c r="E13" s="711"/>
      <c r="F13" s="88" t="s">
        <v>70</v>
      </c>
      <c r="G13" s="88" t="s">
        <v>70</v>
      </c>
      <c r="H13" s="88" t="s">
        <v>70</v>
      </c>
      <c r="I13" s="90">
        <f>SUM(I14:I18)</f>
        <v>0</v>
      </c>
      <c r="J13" s="90">
        <f>SUM(J14:J18)</f>
        <v>0</v>
      </c>
      <c r="K13" s="90">
        <f>SUM(K14:K18)</f>
        <v>0</v>
      </c>
      <c r="L13" s="91"/>
      <c r="AI13" s="67" t="s">
        <v>105</v>
      </c>
      <c r="AS13" s="68">
        <f>SUM(AJ14:AJ18)</f>
        <v>0</v>
      </c>
      <c r="AT13" s="68">
        <f>SUM(AK14:AK18)</f>
        <v>0</v>
      </c>
      <c r="AU13" s="68">
        <f>SUM(AL14:AL18)</f>
        <v>0</v>
      </c>
    </row>
    <row r="14" spans="1:62" ht="15">
      <c r="A14" s="69" t="s">
        <v>106</v>
      </c>
      <c r="B14" s="69" t="s">
        <v>107</v>
      </c>
      <c r="C14" s="696" t="s">
        <v>108</v>
      </c>
      <c r="D14" s="693"/>
      <c r="E14" s="693"/>
      <c r="F14" s="69" t="s">
        <v>109</v>
      </c>
      <c r="G14" s="70">
        <v>359</v>
      </c>
      <c r="H14" s="580">
        <v>0</v>
      </c>
      <c r="I14" s="70">
        <f>G14*AO14</f>
        <v>0</v>
      </c>
      <c r="J14" s="70">
        <f>G14*AP14</f>
        <v>0</v>
      </c>
      <c r="K14" s="70">
        <f>G14*H14</f>
        <v>0</v>
      </c>
      <c r="L14" s="71" t="s">
        <v>110</v>
      </c>
      <c r="Z14" s="70">
        <f>IF(AQ14="5",BJ14,0)</f>
        <v>0</v>
      </c>
      <c r="AB14" s="70">
        <f>IF(AQ14="1",BH14,0)</f>
        <v>0</v>
      </c>
      <c r="AC14" s="70">
        <f>IF(AQ14="1",BI14,0)</f>
        <v>0</v>
      </c>
      <c r="AD14" s="70">
        <f>IF(AQ14="7",BH14,0)</f>
        <v>0</v>
      </c>
      <c r="AE14" s="70">
        <f>IF(AQ14="7",BI14,0)</f>
        <v>0</v>
      </c>
      <c r="AF14" s="70">
        <f>IF(AQ14="2",BH14,0)</f>
        <v>0</v>
      </c>
      <c r="AG14" s="70">
        <f>IF(AQ14="2",BI14,0)</f>
        <v>0</v>
      </c>
      <c r="AH14" s="70">
        <f>IF(AQ14="0",BJ14,0)</f>
        <v>0</v>
      </c>
      <c r="AI14" s="67" t="s">
        <v>105</v>
      </c>
      <c r="AJ14" s="70">
        <f>IF(AN14=0,K14,0)</f>
        <v>0</v>
      </c>
      <c r="AK14" s="70">
        <f>IF(AN14=15,K14,0)</f>
        <v>0</v>
      </c>
      <c r="AL14" s="70">
        <f>IF(AN14=21,K14,0)</f>
        <v>0</v>
      </c>
      <c r="AN14" s="70">
        <v>21</v>
      </c>
      <c r="AO14" s="70">
        <f>H14*0.209829867674858</f>
        <v>0</v>
      </c>
      <c r="AP14" s="70">
        <f>H14*(1-0.209829867674858)</f>
        <v>0</v>
      </c>
      <c r="AQ14" s="71" t="s">
        <v>106</v>
      </c>
      <c r="AV14" s="70">
        <f>AW14+AX14</f>
        <v>0</v>
      </c>
      <c r="AW14" s="70">
        <f>G14*AO14</f>
        <v>0</v>
      </c>
      <c r="AX14" s="70">
        <f>G14*AP14</f>
        <v>0</v>
      </c>
      <c r="AY14" s="71" t="s">
        <v>111</v>
      </c>
      <c r="AZ14" s="71" t="s">
        <v>112</v>
      </c>
      <c r="BA14" s="67" t="s">
        <v>113</v>
      </c>
      <c r="BC14" s="70">
        <f>AW14+AX14</f>
        <v>0</v>
      </c>
      <c r="BD14" s="70">
        <f>H14/(100-BE14)*100</f>
        <v>0</v>
      </c>
      <c r="BE14" s="70">
        <v>0</v>
      </c>
      <c r="BF14" s="70">
        <f>14</f>
        <v>14</v>
      </c>
      <c r="BH14" s="70">
        <f>G14*AO14</f>
        <v>0</v>
      </c>
      <c r="BI14" s="70">
        <f>G14*AP14</f>
        <v>0</v>
      </c>
      <c r="BJ14" s="70">
        <f>G14*H14</f>
        <v>0</v>
      </c>
    </row>
    <row r="15" spans="1:62" ht="15">
      <c r="A15" s="69" t="s">
        <v>114</v>
      </c>
      <c r="B15" s="69" t="s">
        <v>115</v>
      </c>
      <c r="C15" s="696" t="s">
        <v>116</v>
      </c>
      <c r="D15" s="693"/>
      <c r="E15" s="693"/>
      <c r="F15" s="69" t="s">
        <v>109</v>
      </c>
      <c r="G15" s="70">
        <v>359</v>
      </c>
      <c r="H15" s="580">
        <v>0</v>
      </c>
      <c r="I15" s="70">
        <f>G15*AO15</f>
        <v>0</v>
      </c>
      <c r="J15" s="70">
        <f>G15*AP15</f>
        <v>0</v>
      </c>
      <c r="K15" s="70">
        <f>G15*H15</f>
        <v>0</v>
      </c>
      <c r="L15" s="71" t="s">
        <v>110</v>
      </c>
      <c r="Z15" s="70">
        <f>IF(AQ15="5",BJ15,0)</f>
        <v>0</v>
      </c>
      <c r="AB15" s="70">
        <f>IF(AQ15="1",BH15,0)</f>
        <v>0</v>
      </c>
      <c r="AC15" s="70">
        <f>IF(AQ15="1",BI15,0)</f>
        <v>0</v>
      </c>
      <c r="AD15" s="70">
        <f>IF(AQ15="7",BH15,0)</f>
        <v>0</v>
      </c>
      <c r="AE15" s="70">
        <f>IF(AQ15="7",BI15,0)</f>
        <v>0</v>
      </c>
      <c r="AF15" s="70">
        <f>IF(AQ15="2",BH15,0)</f>
        <v>0</v>
      </c>
      <c r="AG15" s="70">
        <f>IF(AQ15="2",BI15,0)</f>
        <v>0</v>
      </c>
      <c r="AH15" s="70">
        <f>IF(AQ15="0",BJ15,0)</f>
        <v>0</v>
      </c>
      <c r="AI15" s="67" t="s">
        <v>105</v>
      </c>
      <c r="AJ15" s="70">
        <f>IF(AN15=0,K15,0)</f>
        <v>0</v>
      </c>
      <c r="AK15" s="70">
        <f>IF(AN15=15,K15,0)</f>
        <v>0</v>
      </c>
      <c r="AL15" s="70">
        <f>IF(AN15=21,K15,0)</f>
        <v>0</v>
      </c>
      <c r="AN15" s="70">
        <v>21</v>
      </c>
      <c r="AO15" s="70">
        <f>H15*0</f>
        <v>0</v>
      </c>
      <c r="AP15" s="70">
        <f>H15*(1-0)</f>
        <v>0</v>
      </c>
      <c r="AQ15" s="71" t="s">
        <v>106</v>
      </c>
      <c r="AV15" s="70">
        <f>AW15+AX15</f>
        <v>0</v>
      </c>
      <c r="AW15" s="70">
        <f>G15*AO15</f>
        <v>0</v>
      </c>
      <c r="AX15" s="70">
        <f>G15*AP15</f>
        <v>0</v>
      </c>
      <c r="AY15" s="71" t="s">
        <v>111</v>
      </c>
      <c r="AZ15" s="71" t="s">
        <v>112</v>
      </c>
      <c r="BA15" s="67" t="s">
        <v>113</v>
      </c>
      <c r="BC15" s="70">
        <f>AW15+AX15</f>
        <v>0</v>
      </c>
      <c r="BD15" s="70">
        <f>H15/(100-BE15)*100</f>
        <v>0</v>
      </c>
      <c r="BE15" s="70">
        <v>0</v>
      </c>
      <c r="BF15" s="70">
        <f>15</f>
        <v>15</v>
      </c>
      <c r="BH15" s="70">
        <f>G15*AO15</f>
        <v>0</v>
      </c>
      <c r="BI15" s="70">
        <f>G15*AP15</f>
        <v>0</v>
      </c>
      <c r="BJ15" s="70">
        <f>G15*H15</f>
        <v>0</v>
      </c>
    </row>
    <row r="16" spans="1:62" ht="15">
      <c r="A16" s="69" t="s">
        <v>117</v>
      </c>
      <c r="B16" s="69" t="s">
        <v>118</v>
      </c>
      <c r="C16" s="696" t="s">
        <v>119</v>
      </c>
      <c r="D16" s="693"/>
      <c r="E16" s="693"/>
      <c r="F16" s="69" t="s">
        <v>109</v>
      </c>
      <c r="G16" s="70">
        <v>14.1</v>
      </c>
      <c r="H16" s="580">
        <v>0</v>
      </c>
      <c r="I16" s="70">
        <f>G16*AO16</f>
        <v>0</v>
      </c>
      <c r="J16" s="70">
        <f>G16*AP16</f>
        <v>0</v>
      </c>
      <c r="K16" s="70">
        <f>G16*H16</f>
        <v>0</v>
      </c>
      <c r="L16" s="71" t="s">
        <v>120</v>
      </c>
      <c r="Z16" s="70">
        <f>IF(AQ16="5",BJ16,0)</f>
        <v>0</v>
      </c>
      <c r="AB16" s="70">
        <f>IF(AQ16="1",BH16,0)</f>
        <v>0</v>
      </c>
      <c r="AC16" s="70">
        <f>IF(AQ16="1",BI16,0)</f>
        <v>0</v>
      </c>
      <c r="AD16" s="70">
        <f>IF(AQ16="7",BH16,0)</f>
        <v>0</v>
      </c>
      <c r="AE16" s="70">
        <f>IF(AQ16="7",BI16,0)</f>
        <v>0</v>
      </c>
      <c r="AF16" s="70">
        <f>IF(AQ16="2",BH16,0)</f>
        <v>0</v>
      </c>
      <c r="AG16" s="70">
        <f>IF(AQ16="2",BI16,0)</f>
        <v>0</v>
      </c>
      <c r="AH16" s="70">
        <f>IF(AQ16="0",BJ16,0)</f>
        <v>0</v>
      </c>
      <c r="AI16" s="67" t="s">
        <v>105</v>
      </c>
      <c r="AJ16" s="70">
        <f>IF(AN16=0,K16,0)</f>
        <v>0</v>
      </c>
      <c r="AK16" s="70">
        <f>IF(AN16=15,K16,0)</f>
        <v>0</v>
      </c>
      <c r="AL16" s="70">
        <f>IF(AN16=21,K16,0)</f>
        <v>0</v>
      </c>
      <c r="AN16" s="70">
        <v>21</v>
      </c>
      <c r="AO16" s="70">
        <f>H16*0</f>
        <v>0</v>
      </c>
      <c r="AP16" s="70">
        <f>H16*(1-0)</f>
        <v>0</v>
      </c>
      <c r="AQ16" s="71" t="s">
        <v>106</v>
      </c>
      <c r="AV16" s="70">
        <f>AW16+AX16</f>
        <v>0</v>
      </c>
      <c r="AW16" s="70">
        <f>G16*AO16</f>
        <v>0</v>
      </c>
      <c r="AX16" s="70">
        <f>G16*AP16</f>
        <v>0</v>
      </c>
      <c r="AY16" s="71" t="s">
        <v>111</v>
      </c>
      <c r="AZ16" s="71" t="s">
        <v>112</v>
      </c>
      <c r="BA16" s="67" t="s">
        <v>113</v>
      </c>
      <c r="BC16" s="70">
        <f>AW16+AX16</f>
        <v>0</v>
      </c>
      <c r="BD16" s="70">
        <f>H16/(100-BE16)*100</f>
        <v>0</v>
      </c>
      <c r="BE16" s="70">
        <v>0</v>
      </c>
      <c r="BF16" s="70">
        <f>16</f>
        <v>16</v>
      </c>
      <c r="BH16" s="70">
        <f>G16*AO16</f>
        <v>0</v>
      </c>
      <c r="BI16" s="70">
        <f>G16*AP16</f>
        <v>0</v>
      </c>
      <c r="BJ16" s="70">
        <f>G16*H16</f>
        <v>0</v>
      </c>
    </row>
    <row r="17" spans="1:62" ht="15">
      <c r="A17" s="69" t="s">
        <v>121</v>
      </c>
      <c r="B17" s="69" t="s">
        <v>122</v>
      </c>
      <c r="C17" s="696" t="s">
        <v>123</v>
      </c>
      <c r="D17" s="693"/>
      <c r="E17" s="693"/>
      <c r="F17" s="69" t="s">
        <v>109</v>
      </c>
      <c r="G17" s="70">
        <v>14.1</v>
      </c>
      <c r="H17" s="580">
        <v>0</v>
      </c>
      <c r="I17" s="70">
        <f>G17*AO17</f>
        <v>0</v>
      </c>
      <c r="J17" s="70">
        <f>G17*AP17</f>
        <v>0</v>
      </c>
      <c r="K17" s="70">
        <f>G17*H17</f>
        <v>0</v>
      </c>
      <c r="L17" s="71" t="s">
        <v>120</v>
      </c>
      <c r="Z17" s="70">
        <f>IF(AQ17="5",BJ17,0)</f>
        <v>0</v>
      </c>
      <c r="AB17" s="70">
        <f>IF(AQ17="1",BH17,0)</f>
        <v>0</v>
      </c>
      <c r="AC17" s="70">
        <f>IF(AQ17="1",BI17,0)</f>
        <v>0</v>
      </c>
      <c r="AD17" s="70">
        <f>IF(AQ17="7",BH17,0)</f>
        <v>0</v>
      </c>
      <c r="AE17" s="70">
        <f>IF(AQ17="7",BI17,0)</f>
        <v>0</v>
      </c>
      <c r="AF17" s="70">
        <f>IF(AQ17="2",BH17,0)</f>
        <v>0</v>
      </c>
      <c r="AG17" s="70">
        <f>IF(AQ17="2",BI17,0)</f>
        <v>0</v>
      </c>
      <c r="AH17" s="70">
        <f>IF(AQ17="0",BJ17,0)</f>
        <v>0</v>
      </c>
      <c r="AI17" s="67" t="s">
        <v>105</v>
      </c>
      <c r="AJ17" s="70">
        <f>IF(AN17=0,K17,0)</f>
        <v>0</v>
      </c>
      <c r="AK17" s="70">
        <f>IF(AN17=15,K17,0)</f>
        <v>0</v>
      </c>
      <c r="AL17" s="70">
        <f>IF(AN17=21,K17,0)</f>
        <v>0</v>
      </c>
      <c r="AN17" s="70">
        <v>21</v>
      </c>
      <c r="AO17" s="70">
        <f>H17*0</f>
        <v>0</v>
      </c>
      <c r="AP17" s="70">
        <f>H17*(1-0)</f>
        <v>0</v>
      </c>
      <c r="AQ17" s="71" t="s">
        <v>106</v>
      </c>
      <c r="AV17" s="70">
        <f>AW17+AX17</f>
        <v>0</v>
      </c>
      <c r="AW17" s="70">
        <f>G17*AO17</f>
        <v>0</v>
      </c>
      <c r="AX17" s="70">
        <f>G17*AP17</f>
        <v>0</v>
      </c>
      <c r="AY17" s="71" t="s">
        <v>111</v>
      </c>
      <c r="AZ17" s="71" t="s">
        <v>112</v>
      </c>
      <c r="BA17" s="67" t="s">
        <v>113</v>
      </c>
      <c r="BC17" s="70">
        <f>AW17+AX17</f>
        <v>0</v>
      </c>
      <c r="BD17" s="70">
        <f>H17/(100-BE17)*100</f>
        <v>0</v>
      </c>
      <c r="BE17" s="70">
        <v>0</v>
      </c>
      <c r="BF17" s="70">
        <f>17</f>
        <v>17</v>
      </c>
      <c r="BH17" s="70">
        <f>G17*AO17</f>
        <v>0</v>
      </c>
      <c r="BI17" s="70">
        <f>G17*AP17</f>
        <v>0</v>
      </c>
      <c r="BJ17" s="70">
        <f>G17*H17</f>
        <v>0</v>
      </c>
    </row>
    <row r="18" spans="1:62" ht="15">
      <c r="A18" s="69" t="s">
        <v>124</v>
      </c>
      <c r="B18" s="69" t="s">
        <v>125</v>
      </c>
      <c r="C18" s="696" t="s">
        <v>126</v>
      </c>
      <c r="D18" s="693"/>
      <c r="E18" s="693"/>
      <c r="F18" s="69" t="s">
        <v>109</v>
      </c>
      <c r="G18" s="70">
        <v>14.1</v>
      </c>
      <c r="H18" s="580">
        <v>0</v>
      </c>
      <c r="I18" s="70">
        <f>G18*AO18</f>
        <v>0</v>
      </c>
      <c r="J18" s="70">
        <f>G18*AP18</f>
        <v>0</v>
      </c>
      <c r="K18" s="70">
        <f>G18*H18</f>
        <v>0</v>
      </c>
      <c r="L18" s="71" t="s">
        <v>120</v>
      </c>
      <c r="Z18" s="70">
        <f>IF(AQ18="5",BJ18,0)</f>
        <v>0</v>
      </c>
      <c r="AB18" s="70">
        <f>IF(AQ18="1",BH18,0)</f>
        <v>0</v>
      </c>
      <c r="AC18" s="70">
        <f>IF(AQ18="1",BI18,0)</f>
        <v>0</v>
      </c>
      <c r="AD18" s="70">
        <f>IF(AQ18="7",BH18,0)</f>
        <v>0</v>
      </c>
      <c r="AE18" s="70">
        <f>IF(AQ18="7",BI18,0)</f>
        <v>0</v>
      </c>
      <c r="AF18" s="70">
        <f>IF(AQ18="2",BH18,0)</f>
        <v>0</v>
      </c>
      <c r="AG18" s="70">
        <f>IF(AQ18="2",BI18,0)</f>
        <v>0</v>
      </c>
      <c r="AH18" s="70">
        <f>IF(AQ18="0",BJ18,0)</f>
        <v>0</v>
      </c>
      <c r="AI18" s="67" t="s">
        <v>105</v>
      </c>
      <c r="AJ18" s="70">
        <f>IF(AN18=0,K18,0)</f>
        <v>0</v>
      </c>
      <c r="AK18" s="70">
        <f>IF(AN18=15,K18,0)</f>
        <v>0</v>
      </c>
      <c r="AL18" s="70">
        <f>IF(AN18=21,K18,0)</f>
        <v>0</v>
      </c>
      <c r="AN18" s="70">
        <v>21</v>
      </c>
      <c r="AO18" s="70">
        <f>H18*0</f>
        <v>0</v>
      </c>
      <c r="AP18" s="70">
        <f>H18*(1-0)</f>
        <v>0</v>
      </c>
      <c r="AQ18" s="71" t="s">
        <v>106</v>
      </c>
      <c r="AV18" s="70">
        <f>AW18+AX18</f>
        <v>0</v>
      </c>
      <c r="AW18" s="70">
        <f>G18*AO18</f>
        <v>0</v>
      </c>
      <c r="AX18" s="70">
        <f>G18*AP18</f>
        <v>0</v>
      </c>
      <c r="AY18" s="71" t="s">
        <v>111</v>
      </c>
      <c r="AZ18" s="71" t="s">
        <v>112</v>
      </c>
      <c r="BA18" s="67" t="s">
        <v>113</v>
      </c>
      <c r="BC18" s="70">
        <f>AW18+AX18</f>
        <v>0</v>
      </c>
      <c r="BD18" s="70">
        <f>H18/(100-BE18)*100</f>
        <v>0</v>
      </c>
      <c r="BE18" s="70">
        <v>0</v>
      </c>
      <c r="BF18" s="70">
        <f>18</f>
        <v>18</v>
      </c>
      <c r="BH18" s="70">
        <f>G18*AO18</f>
        <v>0</v>
      </c>
      <c r="BI18" s="70">
        <f>G18*AP18</f>
        <v>0</v>
      </c>
      <c r="BJ18" s="70">
        <f>G18*H18</f>
        <v>0</v>
      </c>
    </row>
    <row r="19" spans="1:47" ht="15">
      <c r="A19" s="88"/>
      <c r="B19" s="89" t="s">
        <v>127</v>
      </c>
      <c r="C19" s="710" t="s">
        <v>128</v>
      </c>
      <c r="D19" s="711"/>
      <c r="E19" s="711"/>
      <c r="F19" s="88" t="s">
        <v>70</v>
      </c>
      <c r="G19" s="88" t="s">
        <v>70</v>
      </c>
      <c r="H19" s="88" t="s">
        <v>70</v>
      </c>
      <c r="I19" s="90">
        <f>SUM(I20:I23)</f>
        <v>0</v>
      </c>
      <c r="J19" s="90">
        <f>SUM(J20:J23)</f>
        <v>0</v>
      </c>
      <c r="K19" s="90">
        <f>SUM(K20:K23)</f>
        <v>0</v>
      </c>
      <c r="L19" s="91"/>
      <c r="AI19" s="67" t="s">
        <v>105</v>
      </c>
      <c r="AS19" s="68">
        <f>SUM(AJ20:AJ23)</f>
        <v>0</v>
      </c>
      <c r="AT19" s="68">
        <f>SUM(AK20:AK23)</f>
        <v>0</v>
      </c>
      <c r="AU19" s="68">
        <f>SUM(AL20:AL23)</f>
        <v>0</v>
      </c>
    </row>
    <row r="20" spans="1:62" ht="15">
      <c r="A20" s="72" t="s">
        <v>129</v>
      </c>
      <c r="B20" s="72" t="s">
        <v>130</v>
      </c>
      <c r="C20" s="712" t="s">
        <v>131</v>
      </c>
      <c r="D20" s="693"/>
      <c r="E20" s="713"/>
      <c r="F20" s="72" t="s">
        <v>132</v>
      </c>
      <c r="G20" s="73">
        <v>837.8</v>
      </c>
      <c r="H20" s="581">
        <v>0</v>
      </c>
      <c r="I20" s="73">
        <f>G20*AO20</f>
        <v>0</v>
      </c>
      <c r="J20" s="73">
        <f>G20*AP20</f>
        <v>0</v>
      </c>
      <c r="K20" s="73">
        <f>G20*H20</f>
        <v>0</v>
      </c>
      <c r="L20" s="74" t="s">
        <v>110</v>
      </c>
      <c r="Z20" s="70">
        <f>IF(AQ20="5",BJ20,0)</f>
        <v>0</v>
      </c>
      <c r="AB20" s="70">
        <f>IF(AQ20="1",BH20,0)</f>
        <v>0</v>
      </c>
      <c r="AC20" s="70">
        <f>IF(AQ20="1",BI20,0)</f>
        <v>0</v>
      </c>
      <c r="AD20" s="70">
        <f>IF(AQ20="7",BH20,0)</f>
        <v>0</v>
      </c>
      <c r="AE20" s="70">
        <f>IF(AQ20="7",BI20,0)</f>
        <v>0</v>
      </c>
      <c r="AF20" s="70">
        <f>IF(AQ20="2",BH20,0)</f>
        <v>0</v>
      </c>
      <c r="AG20" s="70">
        <f>IF(AQ20="2",BI20,0)</f>
        <v>0</v>
      </c>
      <c r="AH20" s="70">
        <f>IF(AQ20="0",BJ20,0)</f>
        <v>0</v>
      </c>
      <c r="AI20" s="67" t="s">
        <v>105</v>
      </c>
      <c r="AJ20" s="70">
        <f>IF(AN20=0,K20,0)</f>
        <v>0</v>
      </c>
      <c r="AK20" s="70">
        <f>IF(AN20=15,K20,0)</f>
        <v>0</v>
      </c>
      <c r="AL20" s="70">
        <f>IF(AN20=21,K20,0)</f>
        <v>0</v>
      </c>
      <c r="AN20" s="70">
        <v>21</v>
      </c>
      <c r="AO20" s="70">
        <f>H20*0.0106885245901639</f>
        <v>0</v>
      </c>
      <c r="AP20" s="70">
        <f>H20*(1-0.0106885245901639)</f>
        <v>0</v>
      </c>
      <c r="AQ20" s="71" t="s">
        <v>124</v>
      </c>
      <c r="AV20" s="70">
        <f>AW20+AX20</f>
        <v>0</v>
      </c>
      <c r="AW20" s="70">
        <f>G20*AO20</f>
        <v>0</v>
      </c>
      <c r="AX20" s="70">
        <f>G20*AP20</f>
        <v>0</v>
      </c>
      <c r="AY20" s="71" t="s">
        <v>133</v>
      </c>
      <c r="AZ20" s="71" t="s">
        <v>134</v>
      </c>
      <c r="BA20" s="67" t="s">
        <v>113</v>
      </c>
      <c r="BC20" s="70">
        <f>AW20+AX20</f>
        <v>0</v>
      </c>
      <c r="BD20" s="70">
        <f>H20/(100-BE20)*100</f>
        <v>0</v>
      </c>
      <c r="BE20" s="70">
        <v>0</v>
      </c>
      <c r="BF20" s="70">
        <f>20</f>
        <v>20</v>
      </c>
      <c r="BH20" s="70">
        <f>G20*AO20</f>
        <v>0</v>
      </c>
      <c r="BI20" s="70">
        <f>G20*AP20</f>
        <v>0</v>
      </c>
      <c r="BJ20" s="70">
        <f>G20*H20</f>
        <v>0</v>
      </c>
    </row>
    <row r="21" spans="2:12" ht="12.75" customHeight="1">
      <c r="B21" s="75" t="s">
        <v>67</v>
      </c>
      <c r="C21" s="725" t="s">
        <v>135</v>
      </c>
      <c r="D21" s="726"/>
      <c r="E21" s="726"/>
      <c r="F21" s="726"/>
      <c r="G21" s="726"/>
      <c r="H21" s="726"/>
      <c r="I21" s="726"/>
      <c r="J21" s="726"/>
      <c r="K21" s="726"/>
      <c r="L21" s="726"/>
    </row>
    <row r="22" spans="1:62" ht="15">
      <c r="A22" s="69" t="s">
        <v>136</v>
      </c>
      <c r="B22" s="69" t="s">
        <v>137</v>
      </c>
      <c r="C22" s="696" t="s">
        <v>138</v>
      </c>
      <c r="D22" s="693"/>
      <c r="E22" s="693"/>
      <c r="F22" s="69" t="s">
        <v>132</v>
      </c>
      <c r="G22" s="70">
        <v>831</v>
      </c>
      <c r="H22" s="580">
        <v>0</v>
      </c>
      <c r="I22" s="70">
        <f>G22*AO22</f>
        <v>0</v>
      </c>
      <c r="J22" s="70">
        <f>G22*AP22</f>
        <v>0</v>
      </c>
      <c r="K22" s="70">
        <f>G22*H22</f>
        <v>0</v>
      </c>
      <c r="L22" s="71" t="s">
        <v>110</v>
      </c>
      <c r="Z22" s="70">
        <f>IF(AQ22="5",BJ22,0)</f>
        <v>0</v>
      </c>
      <c r="AB22" s="70">
        <f>IF(AQ22="1",BH22,0)</f>
        <v>0</v>
      </c>
      <c r="AC22" s="70">
        <f>IF(AQ22="1",BI22,0)</f>
        <v>0</v>
      </c>
      <c r="AD22" s="70">
        <f>IF(AQ22="7",BH22,0)</f>
        <v>0</v>
      </c>
      <c r="AE22" s="70">
        <f>IF(AQ22="7",BI22,0)</f>
        <v>0</v>
      </c>
      <c r="AF22" s="70">
        <f>IF(AQ22="2",BH22,0)</f>
        <v>0</v>
      </c>
      <c r="AG22" s="70">
        <f>IF(AQ22="2",BI22,0)</f>
        <v>0</v>
      </c>
      <c r="AH22" s="70">
        <f>IF(AQ22="0",BJ22,0)</f>
        <v>0</v>
      </c>
      <c r="AI22" s="67" t="s">
        <v>105</v>
      </c>
      <c r="AJ22" s="70">
        <f>IF(AN22=0,K22,0)</f>
        <v>0</v>
      </c>
      <c r="AK22" s="70">
        <f>IF(AN22=15,K22,0)</f>
        <v>0</v>
      </c>
      <c r="AL22" s="70">
        <f>IF(AN22=21,K22,0)</f>
        <v>0</v>
      </c>
      <c r="AN22" s="70">
        <v>21</v>
      </c>
      <c r="AO22" s="70">
        <f>H22*0</f>
        <v>0</v>
      </c>
      <c r="AP22" s="70">
        <f>H22*(1-0)</f>
        <v>0</v>
      </c>
      <c r="AQ22" s="71" t="s">
        <v>124</v>
      </c>
      <c r="AV22" s="70">
        <f>AW22+AX22</f>
        <v>0</v>
      </c>
      <c r="AW22" s="70">
        <f>G22*AO22</f>
        <v>0</v>
      </c>
      <c r="AX22" s="70">
        <f>G22*AP22</f>
        <v>0</v>
      </c>
      <c r="AY22" s="71" t="s">
        <v>133</v>
      </c>
      <c r="AZ22" s="71" t="s">
        <v>134</v>
      </c>
      <c r="BA22" s="67" t="s">
        <v>113</v>
      </c>
      <c r="BC22" s="70">
        <f>AW22+AX22</f>
        <v>0</v>
      </c>
      <c r="BD22" s="70">
        <f>H22/(100-BE22)*100</f>
        <v>0</v>
      </c>
      <c r="BE22" s="70">
        <v>0</v>
      </c>
      <c r="BF22" s="70">
        <f>22</f>
        <v>22</v>
      </c>
      <c r="BH22" s="70">
        <f>G22*AO22</f>
        <v>0</v>
      </c>
      <c r="BI22" s="70">
        <f>G22*AP22</f>
        <v>0</v>
      </c>
      <c r="BJ22" s="70">
        <f>G22*H22</f>
        <v>0</v>
      </c>
    </row>
    <row r="23" spans="1:62" ht="15">
      <c r="A23" s="69" t="s">
        <v>139</v>
      </c>
      <c r="B23" s="69" t="s">
        <v>140</v>
      </c>
      <c r="C23" s="696" t="s">
        <v>141</v>
      </c>
      <c r="D23" s="693"/>
      <c r="E23" s="693"/>
      <c r="F23" s="69" t="s">
        <v>132</v>
      </c>
      <c r="G23" s="70">
        <v>6.8</v>
      </c>
      <c r="H23" s="580">
        <v>0</v>
      </c>
      <c r="I23" s="70">
        <f>G23*AO23</f>
        <v>0</v>
      </c>
      <c r="J23" s="70">
        <f>G23*AP23</f>
        <v>0</v>
      </c>
      <c r="K23" s="70">
        <f>G23*H23</f>
        <v>0</v>
      </c>
      <c r="L23" s="71" t="s">
        <v>110</v>
      </c>
      <c r="Z23" s="70">
        <f>IF(AQ23="5",BJ23,0)</f>
        <v>0</v>
      </c>
      <c r="AB23" s="70">
        <f>IF(AQ23="1",BH23,0)</f>
        <v>0</v>
      </c>
      <c r="AC23" s="70">
        <f>IF(AQ23="1",BI23,0)</f>
        <v>0</v>
      </c>
      <c r="AD23" s="70">
        <f>IF(AQ23="7",BH23,0)</f>
        <v>0</v>
      </c>
      <c r="AE23" s="70">
        <f>IF(AQ23="7",BI23,0)</f>
        <v>0</v>
      </c>
      <c r="AF23" s="70">
        <f>IF(AQ23="2",BH23,0)</f>
        <v>0</v>
      </c>
      <c r="AG23" s="70">
        <f>IF(AQ23="2",BI23,0)</f>
        <v>0</v>
      </c>
      <c r="AH23" s="70">
        <f>IF(AQ23="0",BJ23,0)</f>
        <v>0</v>
      </c>
      <c r="AI23" s="67" t="s">
        <v>105</v>
      </c>
      <c r="AJ23" s="70">
        <f>IF(AN23=0,K23,0)</f>
        <v>0</v>
      </c>
      <c r="AK23" s="70">
        <f>IF(AN23=15,K23,0)</f>
        <v>0</v>
      </c>
      <c r="AL23" s="70">
        <f>IF(AN23=21,K23,0)</f>
        <v>0</v>
      </c>
      <c r="AN23" s="70">
        <v>21</v>
      </c>
      <c r="AO23" s="70">
        <f>H23*0</f>
        <v>0</v>
      </c>
      <c r="AP23" s="70">
        <f>H23*(1-0)</f>
        <v>0</v>
      </c>
      <c r="AQ23" s="71" t="s">
        <v>124</v>
      </c>
      <c r="AV23" s="70">
        <f>AW23+AX23</f>
        <v>0</v>
      </c>
      <c r="AW23" s="70">
        <f>G23*AO23</f>
        <v>0</v>
      </c>
      <c r="AX23" s="70">
        <f>G23*AP23</f>
        <v>0</v>
      </c>
      <c r="AY23" s="71" t="s">
        <v>133</v>
      </c>
      <c r="AZ23" s="71" t="s">
        <v>134</v>
      </c>
      <c r="BA23" s="67" t="s">
        <v>113</v>
      </c>
      <c r="BC23" s="70">
        <f>AW23+AX23</f>
        <v>0</v>
      </c>
      <c r="BD23" s="70">
        <f>H23/(100-BE23)*100</f>
        <v>0</v>
      </c>
      <c r="BE23" s="70">
        <v>0</v>
      </c>
      <c r="BF23" s="70">
        <f>23</f>
        <v>23</v>
      </c>
      <c r="BH23" s="70">
        <f>G23*AO23</f>
        <v>0</v>
      </c>
      <c r="BI23" s="70">
        <f>G23*AP23</f>
        <v>0</v>
      </c>
      <c r="BJ23" s="70">
        <f>G23*H23</f>
        <v>0</v>
      </c>
    </row>
    <row r="24" spans="2:12" ht="12.75" customHeight="1">
      <c r="B24" s="75" t="s">
        <v>67</v>
      </c>
      <c r="C24" s="725" t="s">
        <v>142</v>
      </c>
      <c r="D24" s="726"/>
      <c r="E24" s="726"/>
      <c r="F24" s="726"/>
      <c r="G24" s="726"/>
      <c r="H24" s="726"/>
      <c r="I24" s="726"/>
      <c r="J24" s="726"/>
      <c r="K24" s="726"/>
      <c r="L24" s="726"/>
    </row>
    <row r="25" spans="1:12" ht="15">
      <c r="A25" s="48"/>
      <c r="B25" s="49"/>
      <c r="C25" s="727" t="s">
        <v>143</v>
      </c>
      <c r="D25" s="728"/>
      <c r="E25" s="728"/>
      <c r="F25" s="48" t="s">
        <v>70</v>
      </c>
      <c r="G25" s="48" t="s">
        <v>70</v>
      </c>
      <c r="H25" s="48" t="s">
        <v>70</v>
      </c>
      <c r="I25" s="50">
        <f>I26+I29</f>
        <v>0</v>
      </c>
      <c r="J25" s="50">
        <f>J26+J29</f>
        <v>0</v>
      </c>
      <c r="K25" s="50">
        <f>K26+K29</f>
        <v>0</v>
      </c>
      <c r="L25" s="51"/>
    </row>
    <row r="26" spans="1:47" ht="15">
      <c r="A26" s="88"/>
      <c r="B26" s="89" t="s">
        <v>103</v>
      </c>
      <c r="C26" s="710" t="s">
        <v>104</v>
      </c>
      <c r="D26" s="711"/>
      <c r="E26" s="711"/>
      <c r="F26" s="88" t="s">
        <v>70</v>
      </c>
      <c r="G26" s="88" t="s">
        <v>70</v>
      </c>
      <c r="H26" s="88" t="s">
        <v>70</v>
      </c>
      <c r="I26" s="90">
        <f>SUM(I27:I28)</f>
        <v>0</v>
      </c>
      <c r="J26" s="90">
        <f>SUM(J27:J28)</f>
        <v>0</v>
      </c>
      <c r="K26" s="90">
        <f>SUM(K27:K28)</f>
        <v>0</v>
      </c>
      <c r="L26" s="91"/>
      <c r="AI26" s="67" t="s">
        <v>144</v>
      </c>
      <c r="AS26" s="68">
        <f>SUM(AJ27:AJ28)</f>
        <v>0</v>
      </c>
      <c r="AT26" s="68">
        <f>SUM(AK27:AK28)</f>
        <v>0</v>
      </c>
      <c r="AU26" s="68">
        <f>SUM(AL27:AL28)</f>
        <v>0</v>
      </c>
    </row>
    <row r="27" spans="1:62" ht="15">
      <c r="A27" s="69" t="s">
        <v>145</v>
      </c>
      <c r="B27" s="69" t="s">
        <v>146</v>
      </c>
      <c r="C27" s="696" t="s">
        <v>147</v>
      </c>
      <c r="D27" s="693"/>
      <c r="E27" s="693"/>
      <c r="F27" s="69" t="s">
        <v>109</v>
      </c>
      <c r="G27" s="70">
        <v>200.6</v>
      </c>
      <c r="H27" s="580">
        <v>0</v>
      </c>
      <c r="I27" s="70">
        <f>G27*AO27</f>
        <v>0</v>
      </c>
      <c r="J27" s="70">
        <f>G27*AP27</f>
        <v>0</v>
      </c>
      <c r="K27" s="70">
        <f>G27*H27</f>
        <v>0</v>
      </c>
      <c r="L27" s="71" t="s">
        <v>120</v>
      </c>
      <c r="Z27" s="70">
        <f>IF(AQ27="5",BJ27,0)</f>
        <v>0</v>
      </c>
      <c r="AB27" s="70">
        <f>IF(AQ27="1",BH27,0)</f>
        <v>0</v>
      </c>
      <c r="AC27" s="70">
        <f>IF(AQ27="1",BI27,0)</f>
        <v>0</v>
      </c>
      <c r="AD27" s="70">
        <f>IF(AQ27="7",BH27,0)</f>
        <v>0</v>
      </c>
      <c r="AE27" s="70">
        <f>IF(AQ27="7",BI27,0)</f>
        <v>0</v>
      </c>
      <c r="AF27" s="70">
        <f>IF(AQ27="2",BH27,0)</f>
        <v>0</v>
      </c>
      <c r="AG27" s="70">
        <f>IF(AQ27="2",BI27,0)</f>
        <v>0</v>
      </c>
      <c r="AH27" s="70">
        <f>IF(AQ27="0",BJ27,0)</f>
        <v>0</v>
      </c>
      <c r="AI27" s="67" t="s">
        <v>144</v>
      </c>
      <c r="AJ27" s="70">
        <f>IF(AN27=0,K27,0)</f>
        <v>0</v>
      </c>
      <c r="AK27" s="70">
        <f>IF(AN27=15,K27,0)</f>
        <v>0</v>
      </c>
      <c r="AL27" s="70">
        <f>IF(AN27=21,K27,0)</f>
        <v>0</v>
      </c>
      <c r="AN27" s="70">
        <v>21</v>
      </c>
      <c r="AO27" s="70">
        <f>H27*0</f>
        <v>0</v>
      </c>
      <c r="AP27" s="70">
        <f>H27*(1-0)</f>
        <v>0</v>
      </c>
      <c r="AQ27" s="71" t="s">
        <v>106</v>
      </c>
      <c r="AV27" s="70">
        <f>AW27+AX27</f>
        <v>0</v>
      </c>
      <c r="AW27" s="70">
        <f>G27*AO27</f>
        <v>0</v>
      </c>
      <c r="AX27" s="70">
        <f>G27*AP27</f>
        <v>0</v>
      </c>
      <c r="AY27" s="71" t="s">
        <v>111</v>
      </c>
      <c r="AZ27" s="71" t="s">
        <v>148</v>
      </c>
      <c r="BA27" s="67" t="s">
        <v>149</v>
      </c>
      <c r="BC27" s="70">
        <f>AW27+AX27</f>
        <v>0</v>
      </c>
      <c r="BD27" s="70">
        <f>H27/(100-BE27)*100</f>
        <v>0</v>
      </c>
      <c r="BE27" s="70">
        <v>0</v>
      </c>
      <c r="BF27" s="70">
        <f>27</f>
        <v>27</v>
      </c>
      <c r="BH27" s="70">
        <f>G27*AO27</f>
        <v>0</v>
      </c>
      <c r="BI27" s="70">
        <f>G27*AP27</f>
        <v>0</v>
      </c>
      <c r="BJ27" s="70">
        <f>G27*H27</f>
        <v>0</v>
      </c>
    </row>
    <row r="28" spans="1:62" ht="15">
      <c r="A28" s="69" t="s">
        <v>150</v>
      </c>
      <c r="B28" s="69" t="s">
        <v>151</v>
      </c>
      <c r="C28" s="696" t="s">
        <v>152</v>
      </c>
      <c r="D28" s="693"/>
      <c r="E28" s="693"/>
      <c r="F28" s="69" t="s">
        <v>109</v>
      </c>
      <c r="G28" s="70">
        <v>200.6</v>
      </c>
      <c r="H28" s="580">
        <v>0</v>
      </c>
      <c r="I28" s="70">
        <f>G28*AO28</f>
        <v>0</v>
      </c>
      <c r="J28" s="70">
        <f>G28*AP28</f>
        <v>0</v>
      </c>
      <c r="K28" s="70">
        <f>G28*H28</f>
        <v>0</v>
      </c>
      <c r="L28" s="71" t="s">
        <v>120</v>
      </c>
      <c r="Z28" s="70">
        <f>IF(AQ28="5",BJ28,0)</f>
        <v>0</v>
      </c>
      <c r="AB28" s="70">
        <f>IF(AQ28="1",BH28,0)</f>
        <v>0</v>
      </c>
      <c r="AC28" s="70">
        <f>IF(AQ28="1",BI28,0)</f>
        <v>0</v>
      </c>
      <c r="AD28" s="70">
        <f>IF(AQ28="7",BH28,0)</f>
        <v>0</v>
      </c>
      <c r="AE28" s="70">
        <f>IF(AQ28="7",BI28,0)</f>
        <v>0</v>
      </c>
      <c r="AF28" s="70">
        <f>IF(AQ28="2",BH28,0)</f>
        <v>0</v>
      </c>
      <c r="AG28" s="70">
        <f>IF(AQ28="2",BI28,0)</f>
        <v>0</v>
      </c>
      <c r="AH28" s="70">
        <f>IF(AQ28="0",BJ28,0)</f>
        <v>0</v>
      </c>
      <c r="AI28" s="67" t="s">
        <v>144</v>
      </c>
      <c r="AJ28" s="70">
        <f>IF(AN28=0,K28,0)</f>
        <v>0</v>
      </c>
      <c r="AK28" s="70">
        <f>IF(AN28=15,K28,0)</f>
        <v>0</v>
      </c>
      <c r="AL28" s="70">
        <f>IF(AN28=21,K28,0)</f>
        <v>0</v>
      </c>
      <c r="AN28" s="70">
        <v>21</v>
      </c>
      <c r="AO28" s="70">
        <f>H28*0</f>
        <v>0</v>
      </c>
      <c r="AP28" s="70">
        <f>H28*(1-0)</f>
        <v>0</v>
      </c>
      <c r="AQ28" s="71" t="s">
        <v>106</v>
      </c>
      <c r="AV28" s="70">
        <f>AW28+AX28</f>
        <v>0</v>
      </c>
      <c r="AW28" s="70">
        <f>G28*AO28</f>
        <v>0</v>
      </c>
      <c r="AX28" s="70">
        <f>G28*AP28</f>
        <v>0</v>
      </c>
      <c r="AY28" s="71" t="s">
        <v>111</v>
      </c>
      <c r="AZ28" s="71" t="s">
        <v>148</v>
      </c>
      <c r="BA28" s="67" t="s">
        <v>149</v>
      </c>
      <c r="BC28" s="70">
        <f>AW28+AX28</f>
        <v>0</v>
      </c>
      <c r="BD28" s="70">
        <f>H28/(100-BE28)*100</f>
        <v>0</v>
      </c>
      <c r="BE28" s="70">
        <v>0</v>
      </c>
      <c r="BF28" s="70">
        <f>28</f>
        <v>28</v>
      </c>
      <c r="BH28" s="70">
        <f>G28*AO28</f>
        <v>0</v>
      </c>
      <c r="BI28" s="70">
        <f>G28*AP28</f>
        <v>0</v>
      </c>
      <c r="BJ28" s="70">
        <f>G28*H28</f>
        <v>0</v>
      </c>
    </row>
    <row r="29" spans="1:47" ht="15">
      <c r="A29" s="88"/>
      <c r="B29" s="89" t="s">
        <v>127</v>
      </c>
      <c r="C29" s="710" t="s">
        <v>128</v>
      </c>
      <c r="D29" s="711"/>
      <c r="E29" s="711"/>
      <c r="F29" s="88" t="s">
        <v>70</v>
      </c>
      <c r="G29" s="88" t="s">
        <v>70</v>
      </c>
      <c r="H29" s="88" t="s">
        <v>70</v>
      </c>
      <c r="I29" s="90">
        <f>SUM(I30:I32)</f>
        <v>0</v>
      </c>
      <c r="J29" s="90">
        <f>SUM(J30:J32)</f>
        <v>0</v>
      </c>
      <c r="K29" s="90">
        <f>SUM(K30:K32)</f>
        <v>0</v>
      </c>
      <c r="L29" s="91"/>
      <c r="AI29" s="67" t="s">
        <v>144</v>
      </c>
      <c r="AS29" s="68">
        <f>SUM(AJ30:AJ32)</f>
        <v>0</v>
      </c>
      <c r="AT29" s="68">
        <f>SUM(AK30:AK32)</f>
        <v>0</v>
      </c>
      <c r="AU29" s="68">
        <f>SUM(AL30:AL32)</f>
        <v>0</v>
      </c>
    </row>
    <row r="30" spans="1:62" ht="15">
      <c r="A30" s="69" t="s">
        <v>103</v>
      </c>
      <c r="B30" s="69" t="s">
        <v>130</v>
      </c>
      <c r="C30" s="696" t="s">
        <v>131</v>
      </c>
      <c r="D30" s="693"/>
      <c r="E30" s="693"/>
      <c r="F30" s="69" t="s">
        <v>132</v>
      </c>
      <c r="G30" s="70">
        <v>204</v>
      </c>
      <c r="H30" s="580">
        <v>0</v>
      </c>
      <c r="I30" s="70">
        <f>G30*AO30</f>
        <v>0</v>
      </c>
      <c r="J30" s="70">
        <f>G30*AP30</f>
        <v>0</v>
      </c>
      <c r="K30" s="70">
        <f>G30*H30</f>
        <v>0</v>
      </c>
      <c r="L30" s="71" t="s">
        <v>110</v>
      </c>
      <c r="Z30" s="70">
        <f>IF(AQ30="5",BJ30,0)</f>
        <v>0</v>
      </c>
      <c r="AB30" s="70">
        <f>IF(AQ30="1",BH30,0)</f>
        <v>0</v>
      </c>
      <c r="AC30" s="70">
        <f>IF(AQ30="1",BI30,0)</f>
        <v>0</v>
      </c>
      <c r="AD30" s="70">
        <f>IF(AQ30="7",BH30,0)</f>
        <v>0</v>
      </c>
      <c r="AE30" s="70">
        <f>IF(AQ30="7",BI30,0)</f>
        <v>0</v>
      </c>
      <c r="AF30" s="70">
        <f>IF(AQ30="2",BH30,0)</f>
        <v>0</v>
      </c>
      <c r="AG30" s="70">
        <f>IF(AQ30="2",BI30,0)</f>
        <v>0</v>
      </c>
      <c r="AH30" s="70">
        <f>IF(AQ30="0",BJ30,0)</f>
        <v>0</v>
      </c>
      <c r="AI30" s="67" t="s">
        <v>144</v>
      </c>
      <c r="AJ30" s="70">
        <f>IF(AN30=0,K30,0)</f>
        <v>0</v>
      </c>
      <c r="AK30" s="70">
        <f>IF(AN30=15,K30,0)</f>
        <v>0</v>
      </c>
      <c r="AL30" s="70">
        <f>IF(AN30=21,K30,0)</f>
        <v>0</v>
      </c>
      <c r="AN30" s="70">
        <v>21</v>
      </c>
      <c r="AO30" s="70">
        <f>H30*0.0106885245901639</f>
        <v>0</v>
      </c>
      <c r="AP30" s="70">
        <f>H30*(1-0.0106885245901639)</f>
        <v>0</v>
      </c>
      <c r="AQ30" s="71" t="s">
        <v>124</v>
      </c>
      <c r="AV30" s="70">
        <f>AW30+AX30</f>
        <v>0</v>
      </c>
      <c r="AW30" s="70">
        <f>G30*AO30</f>
        <v>0</v>
      </c>
      <c r="AX30" s="70">
        <f>G30*AP30</f>
        <v>0</v>
      </c>
      <c r="AY30" s="71" t="s">
        <v>133</v>
      </c>
      <c r="AZ30" s="71" t="s">
        <v>153</v>
      </c>
      <c r="BA30" s="67" t="s">
        <v>149</v>
      </c>
      <c r="BC30" s="70">
        <f>AW30+AX30</f>
        <v>0</v>
      </c>
      <c r="BD30" s="70">
        <f>H30/(100-BE30)*100</f>
        <v>0</v>
      </c>
      <c r="BE30" s="70">
        <v>0</v>
      </c>
      <c r="BF30" s="70">
        <f>30</f>
        <v>30</v>
      </c>
      <c r="BH30" s="70">
        <f>G30*AO30</f>
        <v>0</v>
      </c>
      <c r="BI30" s="70">
        <f>G30*AP30</f>
        <v>0</v>
      </c>
      <c r="BJ30" s="70">
        <f>G30*H30</f>
        <v>0</v>
      </c>
    </row>
    <row r="31" spans="2:12" ht="12.75" customHeight="1">
      <c r="B31" s="75" t="s">
        <v>67</v>
      </c>
      <c r="C31" s="725" t="s">
        <v>154</v>
      </c>
      <c r="D31" s="726"/>
      <c r="E31" s="726"/>
      <c r="F31" s="726"/>
      <c r="G31" s="726"/>
      <c r="H31" s="726"/>
      <c r="I31" s="726"/>
      <c r="J31" s="726"/>
      <c r="K31" s="726"/>
      <c r="L31" s="726"/>
    </row>
    <row r="32" spans="1:62" ht="15">
      <c r="A32" s="69" t="s">
        <v>155</v>
      </c>
      <c r="B32" s="69" t="s">
        <v>137</v>
      </c>
      <c r="C32" s="696" t="s">
        <v>138</v>
      </c>
      <c r="D32" s="693"/>
      <c r="E32" s="693"/>
      <c r="F32" s="69" t="s">
        <v>132</v>
      </c>
      <c r="G32" s="70">
        <v>204</v>
      </c>
      <c r="H32" s="580">
        <v>0</v>
      </c>
      <c r="I32" s="70">
        <f>G32*AO32</f>
        <v>0</v>
      </c>
      <c r="J32" s="70">
        <f>G32*AP32</f>
        <v>0</v>
      </c>
      <c r="K32" s="70">
        <f>G32*H32</f>
        <v>0</v>
      </c>
      <c r="L32" s="71" t="s">
        <v>110</v>
      </c>
      <c r="Z32" s="70">
        <f>IF(AQ32="5",BJ32,0)</f>
        <v>0</v>
      </c>
      <c r="AB32" s="70">
        <f>IF(AQ32="1",BH32,0)</f>
        <v>0</v>
      </c>
      <c r="AC32" s="70">
        <f>IF(AQ32="1",BI32,0)</f>
        <v>0</v>
      </c>
      <c r="AD32" s="70">
        <f>IF(AQ32="7",BH32,0)</f>
        <v>0</v>
      </c>
      <c r="AE32" s="70">
        <f>IF(AQ32="7",BI32,0)</f>
        <v>0</v>
      </c>
      <c r="AF32" s="70">
        <f>IF(AQ32="2",BH32,0)</f>
        <v>0</v>
      </c>
      <c r="AG32" s="70">
        <f>IF(AQ32="2",BI32,0)</f>
        <v>0</v>
      </c>
      <c r="AH32" s="70">
        <f>IF(AQ32="0",BJ32,0)</f>
        <v>0</v>
      </c>
      <c r="AI32" s="67" t="s">
        <v>144</v>
      </c>
      <c r="AJ32" s="70">
        <f>IF(AN32=0,K32,0)</f>
        <v>0</v>
      </c>
      <c r="AK32" s="70">
        <f>IF(AN32=15,K32,0)</f>
        <v>0</v>
      </c>
      <c r="AL32" s="70">
        <f>IF(AN32=21,K32,0)</f>
        <v>0</v>
      </c>
      <c r="AN32" s="70">
        <v>21</v>
      </c>
      <c r="AO32" s="70">
        <f>H32*0</f>
        <v>0</v>
      </c>
      <c r="AP32" s="70">
        <f>H32*(1-0)</f>
        <v>0</v>
      </c>
      <c r="AQ32" s="71" t="s">
        <v>124</v>
      </c>
      <c r="AV32" s="70">
        <f>AW32+AX32</f>
        <v>0</v>
      </c>
      <c r="AW32" s="70">
        <f>G32*AO32</f>
        <v>0</v>
      </c>
      <c r="AX32" s="70">
        <f>G32*AP32</f>
        <v>0</v>
      </c>
      <c r="AY32" s="71" t="s">
        <v>133</v>
      </c>
      <c r="AZ32" s="71" t="s">
        <v>153</v>
      </c>
      <c r="BA32" s="67" t="s">
        <v>149</v>
      </c>
      <c r="BC32" s="70">
        <f>AW32+AX32</f>
        <v>0</v>
      </c>
      <c r="BD32" s="70">
        <f>H32/(100-BE32)*100</f>
        <v>0</v>
      </c>
      <c r="BE32" s="70">
        <v>0</v>
      </c>
      <c r="BF32" s="70">
        <f>32</f>
        <v>32</v>
      </c>
      <c r="BH32" s="70">
        <f>G32*AO32</f>
        <v>0</v>
      </c>
      <c r="BI32" s="70">
        <f>G32*AP32</f>
        <v>0</v>
      </c>
      <c r="BJ32" s="70">
        <f>G32*H32</f>
        <v>0</v>
      </c>
    </row>
    <row r="33" spans="1:12" ht="15">
      <c r="A33" s="48"/>
      <c r="B33" s="49"/>
      <c r="C33" s="727" t="s">
        <v>156</v>
      </c>
      <c r="D33" s="728"/>
      <c r="E33" s="728"/>
      <c r="F33" s="48" t="s">
        <v>70</v>
      </c>
      <c r="G33" s="48" t="s">
        <v>70</v>
      </c>
      <c r="H33" s="48" t="s">
        <v>70</v>
      </c>
      <c r="I33" s="50">
        <f>I34+I37</f>
        <v>0</v>
      </c>
      <c r="J33" s="50">
        <f>J34+J37</f>
        <v>0</v>
      </c>
      <c r="K33" s="50">
        <f>K34+K37</f>
        <v>0</v>
      </c>
      <c r="L33" s="51"/>
    </row>
    <row r="34" spans="1:47" ht="15">
      <c r="A34" s="88"/>
      <c r="B34" s="89" t="s">
        <v>103</v>
      </c>
      <c r="C34" s="710" t="s">
        <v>104</v>
      </c>
      <c r="D34" s="711"/>
      <c r="E34" s="711"/>
      <c r="F34" s="88" t="s">
        <v>70</v>
      </c>
      <c r="G34" s="88" t="s">
        <v>70</v>
      </c>
      <c r="H34" s="88" t="s">
        <v>70</v>
      </c>
      <c r="I34" s="90">
        <f>SUM(I35:I36)</f>
        <v>0</v>
      </c>
      <c r="J34" s="90">
        <f>SUM(J35:J36)</f>
        <v>0</v>
      </c>
      <c r="K34" s="90">
        <f>SUM(K35:K36)</f>
        <v>0</v>
      </c>
      <c r="L34" s="91"/>
      <c r="AI34" s="67" t="s">
        <v>157</v>
      </c>
      <c r="AS34" s="68">
        <f>SUM(AJ35:AJ36)</f>
        <v>0</v>
      </c>
      <c r="AT34" s="68">
        <f>SUM(AK35:AK36)</f>
        <v>0</v>
      </c>
      <c r="AU34" s="68">
        <f>SUM(AL35:AL36)</f>
        <v>0</v>
      </c>
    </row>
    <row r="35" spans="1:62" ht="15">
      <c r="A35" s="69" t="s">
        <v>158</v>
      </c>
      <c r="B35" s="69" t="s">
        <v>159</v>
      </c>
      <c r="C35" s="696" t="s">
        <v>160</v>
      </c>
      <c r="D35" s="693"/>
      <c r="E35" s="693"/>
      <c r="F35" s="69" t="s">
        <v>109</v>
      </c>
      <c r="G35" s="70">
        <v>70.9</v>
      </c>
      <c r="H35" s="580">
        <v>0</v>
      </c>
      <c r="I35" s="70">
        <f>G35*AO35</f>
        <v>0</v>
      </c>
      <c r="J35" s="70">
        <f>G35*AP35</f>
        <v>0</v>
      </c>
      <c r="K35" s="70">
        <f>G35*H35</f>
        <v>0</v>
      </c>
      <c r="L35" s="71" t="s">
        <v>120</v>
      </c>
      <c r="Z35" s="70">
        <f>IF(AQ35="5",BJ35,0)</f>
        <v>0</v>
      </c>
      <c r="AB35" s="70">
        <f>IF(AQ35="1",BH35,0)</f>
        <v>0</v>
      </c>
      <c r="AC35" s="70">
        <f>IF(AQ35="1",BI35,0)</f>
        <v>0</v>
      </c>
      <c r="AD35" s="70">
        <f>IF(AQ35="7",BH35,0)</f>
        <v>0</v>
      </c>
      <c r="AE35" s="70">
        <f>IF(AQ35="7",BI35,0)</f>
        <v>0</v>
      </c>
      <c r="AF35" s="70">
        <f>IF(AQ35="2",BH35,0)</f>
        <v>0</v>
      </c>
      <c r="AG35" s="70">
        <f>IF(AQ35="2",BI35,0)</f>
        <v>0</v>
      </c>
      <c r="AH35" s="70">
        <f>IF(AQ35="0",BJ35,0)</f>
        <v>0</v>
      </c>
      <c r="AI35" s="67" t="s">
        <v>157</v>
      </c>
      <c r="AJ35" s="70">
        <f>IF(AN35=0,K35,0)</f>
        <v>0</v>
      </c>
      <c r="AK35" s="70">
        <f>IF(AN35=15,K35,0)</f>
        <v>0</v>
      </c>
      <c r="AL35" s="70">
        <f>IF(AN35=21,K35,0)</f>
        <v>0</v>
      </c>
      <c r="AN35" s="70">
        <v>21</v>
      </c>
      <c r="AO35" s="70">
        <f>H35*0</f>
        <v>0</v>
      </c>
      <c r="AP35" s="70">
        <f>H35*(1-0)</f>
        <v>0</v>
      </c>
      <c r="AQ35" s="71" t="s">
        <v>106</v>
      </c>
      <c r="AV35" s="70">
        <f>AW35+AX35</f>
        <v>0</v>
      </c>
      <c r="AW35" s="70">
        <f>G35*AO35</f>
        <v>0</v>
      </c>
      <c r="AX35" s="70">
        <f>G35*AP35</f>
        <v>0</v>
      </c>
      <c r="AY35" s="71" t="s">
        <v>111</v>
      </c>
      <c r="AZ35" s="71" t="s">
        <v>161</v>
      </c>
      <c r="BA35" s="67" t="s">
        <v>162</v>
      </c>
      <c r="BC35" s="70">
        <f>AW35+AX35</f>
        <v>0</v>
      </c>
      <c r="BD35" s="70">
        <f>H35/(100-BE35)*100</f>
        <v>0</v>
      </c>
      <c r="BE35" s="70">
        <v>0</v>
      </c>
      <c r="BF35" s="70">
        <f>35</f>
        <v>35</v>
      </c>
      <c r="BH35" s="70">
        <f>G35*AO35</f>
        <v>0</v>
      </c>
      <c r="BI35" s="70">
        <f>G35*AP35</f>
        <v>0</v>
      </c>
      <c r="BJ35" s="70">
        <f>G35*H35</f>
        <v>0</v>
      </c>
    </row>
    <row r="36" spans="1:62" ht="15">
      <c r="A36" s="69" t="s">
        <v>163</v>
      </c>
      <c r="B36" s="69" t="s">
        <v>164</v>
      </c>
      <c r="C36" s="696" t="s">
        <v>165</v>
      </c>
      <c r="D36" s="693"/>
      <c r="E36" s="693"/>
      <c r="F36" s="69" t="s">
        <v>109</v>
      </c>
      <c r="G36" s="70">
        <v>70.9</v>
      </c>
      <c r="H36" s="580">
        <v>0</v>
      </c>
      <c r="I36" s="70">
        <f>G36*AO36</f>
        <v>0</v>
      </c>
      <c r="J36" s="70">
        <f>G36*AP36</f>
        <v>0</v>
      </c>
      <c r="K36" s="70">
        <f>G36*H36</f>
        <v>0</v>
      </c>
      <c r="L36" s="71" t="s">
        <v>120</v>
      </c>
      <c r="Z36" s="70">
        <f>IF(AQ36="5",BJ36,0)</f>
        <v>0</v>
      </c>
      <c r="AB36" s="70">
        <f>IF(AQ36="1",BH36,0)</f>
        <v>0</v>
      </c>
      <c r="AC36" s="70">
        <f>IF(AQ36="1",BI36,0)</f>
        <v>0</v>
      </c>
      <c r="AD36" s="70">
        <f>IF(AQ36="7",BH36,0)</f>
        <v>0</v>
      </c>
      <c r="AE36" s="70">
        <f>IF(AQ36="7",BI36,0)</f>
        <v>0</v>
      </c>
      <c r="AF36" s="70">
        <f>IF(AQ36="2",BH36,0)</f>
        <v>0</v>
      </c>
      <c r="AG36" s="70">
        <f>IF(AQ36="2",BI36,0)</f>
        <v>0</v>
      </c>
      <c r="AH36" s="70">
        <f>IF(AQ36="0",BJ36,0)</f>
        <v>0</v>
      </c>
      <c r="AI36" s="67" t="s">
        <v>157</v>
      </c>
      <c r="AJ36" s="70">
        <f>IF(AN36=0,K36,0)</f>
        <v>0</v>
      </c>
      <c r="AK36" s="70">
        <f>IF(AN36=15,K36,0)</f>
        <v>0</v>
      </c>
      <c r="AL36" s="70">
        <f>IF(AN36=21,K36,0)</f>
        <v>0</v>
      </c>
      <c r="AN36" s="70">
        <v>21</v>
      </c>
      <c r="AO36" s="70">
        <f>H36*0</f>
        <v>0</v>
      </c>
      <c r="AP36" s="70">
        <f>H36*(1-0)</f>
        <v>0</v>
      </c>
      <c r="AQ36" s="71" t="s">
        <v>106</v>
      </c>
      <c r="AV36" s="70">
        <f>AW36+AX36</f>
        <v>0</v>
      </c>
      <c r="AW36" s="70">
        <f>G36*AO36</f>
        <v>0</v>
      </c>
      <c r="AX36" s="70">
        <f>G36*AP36</f>
        <v>0</v>
      </c>
      <c r="AY36" s="71" t="s">
        <v>111</v>
      </c>
      <c r="AZ36" s="71" t="s">
        <v>161</v>
      </c>
      <c r="BA36" s="67" t="s">
        <v>162</v>
      </c>
      <c r="BC36" s="70">
        <f>AW36+AX36</f>
        <v>0</v>
      </c>
      <c r="BD36" s="70">
        <f>H36/(100-BE36)*100</f>
        <v>0</v>
      </c>
      <c r="BE36" s="70">
        <v>0</v>
      </c>
      <c r="BF36" s="70">
        <f>36</f>
        <v>36</v>
      </c>
      <c r="BH36" s="70">
        <f>G36*AO36</f>
        <v>0</v>
      </c>
      <c r="BI36" s="70">
        <f>G36*AP36</f>
        <v>0</v>
      </c>
      <c r="BJ36" s="70">
        <f>G36*H36</f>
        <v>0</v>
      </c>
    </row>
    <row r="37" spans="1:47" ht="15">
      <c r="A37" s="88"/>
      <c r="B37" s="89" t="s">
        <v>127</v>
      </c>
      <c r="C37" s="710" t="s">
        <v>128</v>
      </c>
      <c r="D37" s="711"/>
      <c r="E37" s="711"/>
      <c r="F37" s="88" t="s">
        <v>70</v>
      </c>
      <c r="G37" s="88" t="s">
        <v>70</v>
      </c>
      <c r="H37" s="88" t="s">
        <v>70</v>
      </c>
      <c r="I37" s="90">
        <f>SUM(I38:I40)</f>
        <v>0</v>
      </c>
      <c r="J37" s="90">
        <f>SUM(J38:J40)</f>
        <v>0</v>
      </c>
      <c r="K37" s="90">
        <f>SUM(K38:K40)</f>
        <v>0</v>
      </c>
      <c r="L37" s="91"/>
      <c r="AI37" s="67" t="s">
        <v>157</v>
      </c>
      <c r="AS37" s="68">
        <f>SUM(AJ38:AJ40)</f>
        <v>0</v>
      </c>
      <c r="AT37" s="68">
        <f>SUM(AK38:AK40)</f>
        <v>0</v>
      </c>
      <c r="AU37" s="68">
        <f>SUM(AL38:AL40)</f>
        <v>0</v>
      </c>
    </row>
    <row r="38" spans="1:62" ht="15">
      <c r="A38" s="69" t="s">
        <v>166</v>
      </c>
      <c r="B38" s="69" t="s">
        <v>130</v>
      </c>
      <c r="C38" s="696" t="s">
        <v>131</v>
      </c>
      <c r="D38" s="693"/>
      <c r="E38" s="693"/>
      <c r="F38" s="69" t="s">
        <v>132</v>
      </c>
      <c r="G38" s="70">
        <v>93.6</v>
      </c>
      <c r="H38" s="580">
        <v>0</v>
      </c>
      <c r="I38" s="70">
        <f>G38*AO38</f>
        <v>0</v>
      </c>
      <c r="J38" s="70">
        <f>G38*AP38</f>
        <v>0</v>
      </c>
      <c r="K38" s="70">
        <f>G38*H38</f>
        <v>0</v>
      </c>
      <c r="L38" s="71" t="s">
        <v>110</v>
      </c>
      <c r="Z38" s="70">
        <f>IF(AQ38="5",BJ38,0)</f>
        <v>0</v>
      </c>
      <c r="AB38" s="70">
        <f>IF(AQ38="1",BH38,0)</f>
        <v>0</v>
      </c>
      <c r="AC38" s="70">
        <f>IF(AQ38="1",BI38,0)</f>
        <v>0</v>
      </c>
      <c r="AD38" s="70">
        <f>IF(AQ38="7",BH38,0)</f>
        <v>0</v>
      </c>
      <c r="AE38" s="70">
        <f>IF(AQ38="7",BI38,0)</f>
        <v>0</v>
      </c>
      <c r="AF38" s="70">
        <f>IF(AQ38="2",BH38,0)</f>
        <v>0</v>
      </c>
      <c r="AG38" s="70">
        <f>IF(AQ38="2",BI38,0)</f>
        <v>0</v>
      </c>
      <c r="AH38" s="70">
        <f>IF(AQ38="0",BJ38,0)</f>
        <v>0</v>
      </c>
      <c r="AI38" s="67" t="s">
        <v>157</v>
      </c>
      <c r="AJ38" s="70">
        <f>IF(AN38=0,K38,0)</f>
        <v>0</v>
      </c>
      <c r="AK38" s="70">
        <f>IF(AN38=15,K38,0)</f>
        <v>0</v>
      </c>
      <c r="AL38" s="70">
        <f>IF(AN38=21,K38,0)</f>
        <v>0</v>
      </c>
      <c r="AN38" s="70">
        <v>21</v>
      </c>
      <c r="AO38" s="70">
        <f>H38*0.0106885245901639</f>
        <v>0</v>
      </c>
      <c r="AP38" s="70">
        <f>H38*(1-0.0106885245901639)</f>
        <v>0</v>
      </c>
      <c r="AQ38" s="71" t="s">
        <v>124</v>
      </c>
      <c r="AV38" s="70">
        <f>AW38+AX38</f>
        <v>0</v>
      </c>
      <c r="AW38" s="70">
        <f>G38*AO38</f>
        <v>0</v>
      </c>
      <c r="AX38" s="70">
        <f>G38*AP38</f>
        <v>0</v>
      </c>
      <c r="AY38" s="71" t="s">
        <v>133</v>
      </c>
      <c r="AZ38" s="71" t="s">
        <v>167</v>
      </c>
      <c r="BA38" s="67" t="s">
        <v>162</v>
      </c>
      <c r="BC38" s="70">
        <f>AW38+AX38</f>
        <v>0</v>
      </c>
      <c r="BD38" s="70">
        <f>H38/(100-BE38)*100</f>
        <v>0</v>
      </c>
      <c r="BE38" s="70">
        <v>0</v>
      </c>
      <c r="BF38" s="70">
        <f>38</f>
        <v>38</v>
      </c>
      <c r="BH38" s="70">
        <f>G38*AO38</f>
        <v>0</v>
      </c>
      <c r="BI38" s="70">
        <f>G38*AP38</f>
        <v>0</v>
      </c>
      <c r="BJ38" s="70">
        <f>G38*H38</f>
        <v>0</v>
      </c>
    </row>
    <row r="39" spans="2:12" ht="12.75" customHeight="1">
      <c r="B39" s="75" t="s">
        <v>67</v>
      </c>
      <c r="C39" s="725" t="s">
        <v>168</v>
      </c>
      <c r="D39" s="726"/>
      <c r="E39" s="726"/>
      <c r="F39" s="726"/>
      <c r="G39" s="726"/>
      <c r="H39" s="726"/>
      <c r="I39" s="726"/>
      <c r="J39" s="726"/>
      <c r="K39" s="726"/>
      <c r="L39" s="726"/>
    </row>
    <row r="40" spans="1:62" ht="15">
      <c r="A40" s="69" t="s">
        <v>169</v>
      </c>
      <c r="B40" s="69" t="s">
        <v>137</v>
      </c>
      <c r="C40" s="696" t="s">
        <v>138</v>
      </c>
      <c r="D40" s="693"/>
      <c r="E40" s="693"/>
      <c r="F40" s="69" t="s">
        <v>132</v>
      </c>
      <c r="G40" s="70">
        <v>93.6</v>
      </c>
      <c r="H40" s="580">
        <v>0</v>
      </c>
      <c r="I40" s="70">
        <f>G40*AO40</f>
        <v>0</v>
      </c>
      <c r="J40" s="70">
        <f>G40*AP40</f>
        <v>0</v>
      </c>
      <c r="K40" s="70">
        <f>G40*H40</f>
        <v>0</v>
      </c>
      <c r="L40" s="71" t="s">
        <v>110</v>
      </c>
      <c r="Z40" s="70">
        <f>IF(AQ40="5",BJ40,0)</f>
        <v>0</v>
      </c>
      <c r="AB40" s="70">
        <f>IF(AQ40="1",BH40,0)</f>
        <v>0</v>
      </c>
      <c r="AC40" s="70">
        <f>IF(AQ40="1",BI40,0)</f>
        <v>0</v>
      </c>
      <c r="AD40" s="70">
        <f>IF(AQ40="7",BH40,0)</f>
        <v>0</v>
      </c>
      <c r="AE40" s="70">
        <f>IF(AQ40="7",BI40,0)</f>
        <v>0</v>
      </c>
      <c r="AF40" s="70">
        <f>IF(AQ40="2",BH40,0)</f>
        <v>0</v>
      </c>
      <c r="AG40" s="70">
        <f>IF(AQ40="2",BI40,0)</f>
        <v>0</v>
      </c>
      <c r="AH40" s="70">
        <f>IF(AQ40="0",BJ40,0)</f>
        <v>0</v>
      </c>
      <c r="AI40" s="67" t="s">
        <v>157</v>
      </c>
      <c r="AJ40" s="70">
        <f>IF(AN40=0,K40,0)</f>
        <v>0</v>
      </c>
      <c r="AK40" s="70">
        <f>IF(AN40=15,K40,0)</f>
        <v>0</v>
      </c>
      <c r="AL40" s="70">
        <f>IF(AN40=21,K40,0)</f>
        <v>0</v>
      </c>
      <c r="AN40" s="70">
        <v>21</v>
      </c>
      <c r="AO40" s="70">
        <f>H40*0</f>
        <v>0</v>
      </c>
      <c r="AP40" s="70">
        <f>H40*(1-0)</f>
        <v>0</v>
      </c>
      <c r="AQ40" s="71" t="s">
        <v>124</v>
      </c>
      <c r="AV40" s="70">
        <f>AW40+AX40</f>
        <v>0</v>
      </c>
      <c r="AW40" s="70">
        <f>G40*AO40</f>
        <v>0</v>
      </c>
      <c r="AX40" s="70">
        <f>G40*AP40</f>
        <v>0</v>
      </c>
      <c r="AY40" s="71" t="s">
        <v>133</v>
      </c>
      <c r="AZ40" s="71" t="s">
        <v>167</v>
      </c>
      <c r="BA40" s="67" t="s">
        <v>162</v>
      </c>
      <c r="BC40" s="70">
        <f>AW40+AX40</f>
        <v>0</v>
      </c>
      <c r="BD40" s="70">
        <f>H40/(100-BE40)*100</f>
        <v>0</v>
      </c>
      <c r="BE40" s="70">
        <v>0</v>
      </c>
      <c r="BF40" s="70">
        <f>40</f>
        <v>40</v>
      </c>
      <c r="BH40" s="70">
        <f>G40*AO40</f>
        <v>0</v>
      </c>
      <c r="BI40" s="70">
        <f>G40*AP40</f>
        <v>0</v>
      </c>
      <c r="BJ40" s="70">
        <f>G40*H40</f>
        <v>0</v>
      </c>
    </row>
    <row r="41" spans="1:12" ht="15">
      <c r="A41" s="48"/>
      <c r="B41" s="49"/>
      <c r="C41" s="727" t="s">
        <v>170</v>
      </c>
      <c r="D41" s="728"/>
      <c r="E41" s="728"/>
      <c r="F41" s="48" t="s">
        <v>70</v>
      </c>
      <c r="G41" s="48" t="s">
        <v>70</v>
      </c>
      <c r="H41" s="48" t="s">
        <v>70</v>
      </c>
      <c r="I41" s="50">
        <f>I42+I46</f>
        <v>0</v>
      </c>
      <c r="J41" s="50">
        <f>J42+J46</f>
        <v>0</v>
      </c>
      <c r="K41" s="50">
        <f>K42+K46</f>
        <v>0</v>
      </c>
      <c r="L41" s="51"/>
    </row>
    <row r="42" spans="1:47" ht="15">
      <c r="A42" s="88"/>
      <c r="B42" s="89" t="s">
        <v>103</v>
      </c>
      <c r="C42" s="710" t="s">
        <v>104</v>
      </c>
      <c r="D42" s="711"/>
      <c r="E42" s="711"/>
      <c r="F42" s="88" t="s">
        <v>70</v>
      </c>
      <c r="G42" s="88" t="s">
        <v>70</v>
      </c>
      <c r="H42" s="88" t="s">
        <v>70</v>
      </c>
      <c r="I42" s="90">
        <f>SUM(I43:I45)</f>
        <v>0</v>
      </c>
      <c r="J42" s="90">
        <f>SUM(J43:J45)</f>
        <v>0</v>
      </c>
      <c r="K42" s="90">
        <f>SUM(K43:K45)</f>
        <v>0</v>
      </c>
      <c r="L42" s="91"/>
      <c r="AI42" s="67" t="s">
        <v>171</v>
      </c>
      <c r="AS42" s="68">
        <f>SUM(AJ43:AJ45)</f>
        <v>0</v>
      </c>
      <c r="AT42" s="68">
        <f>SUM(AK43:AK45)</f>
        <v>0</v>
      </c>
      <c r="AU42" s="68">
        <f>SUM(AL43:AL45)</f>
        <v>0</v>
      </c>
    </row>
    <row r="43" spans="1:62" ht="15">
      <c r="A43" s="69" t="s">
        <v>172</v>
      </c>
      <c r="B43" s="69" t="s">
        <v>173</v>
      </c>
      <c r="C43" s="696" t="s">
        <v>174</v>
      </c>
      <c r="D43" s="693"/>
      <c r="E43" s="693"/>
      <c r="F43" s="69" t="s">
        <v>109</v>
      </c>
      <c r="G43" s="70">
        <v>588.3</v>
      </c>
      <c r="H43" s="580">
        <v>0</v>
      </c>
      <c r="I43" s="70">
        <f>G43*AO43</f>
        <v>0</v>
      </c>
      <c r="J43" s="70">
        <f>G43*AP43</f>
        <v>0</v>
      </c>
      <c r="K43" s="70">
        <f>G43*H43</f>
        <v>0</v>
      </c>
      <c r="L43" s="71" t="s">
        <v>120</v>
      </c>
      <c r="Z43" s="70">
        <f>IF(AQ43="5",BJ43,0)</f>
        <v>0</v>
      </c>
      <c r="AB43" s="70">
        <f>IF(AQ43="1",BH43,0)</f>
        <v>0</v>
      </c>
      <c r="AC43" s="70">
        <f>IF(AQ43="1",BI43,0)</f>
        <v>0</v>
      </c>
      <c r="AD43" s="70">
        <f>IF(AQ43="7",BH43,0)</f>
        <v>0</v>
      </c>
      <c r="AE43" s="70">
        <f>IF(AQ43="7",BI43,0)</f>
        <v>0</v>
      </c>
      <c r="AF43" s="70">
        <f>IF(AQ43="2",BH43,0)</f>
        <v>0</v>
      </c>
      <c r="AG43" s="70">
        <f>IF(AQ43="2",BI43,0)</f>
        <v>0</v>
      </c>
      <c r="AH43" s="70">
        <f>IF(AQ43="0",BJ43,0)</f>
        <v>0</v>
      </c>
      <c r="AI43" s="67" t="s">
        <v>171</v>
      </c>
      <c r="AJ43" s="70">
        <f>IF(AN43=0,K43,0)</f>
        <v>0</v>
      </c>
      <c r="AK43" s="70">
        <f>IF(AN43=15,K43,0)</f>
        <v>0</v>
      </c>
      <c r="AL43" s="70">
        <f>IF(AN43=21,K43,0)</f>
        <v>0</v>
      </c>
      <c r="AN43" s="70">
        <v>21</v>
      </c>
      <c r="AO43" s="70">
        <f>H43*0</f>
        <v>0</v>
      </c>
      <c r="AP43" s="70">
        <f>H43*(1-0)</f>
        <v>0</v>
      </c>
      <c r="AQ43" s="71" t="s">
        <v>106</v>
      </c>
      <c r="AV43" s="70">
        <f>AW43+AX43</f>
        <v>0</v>
      </c>
      <c r="AW43" s="70">
        <f>G43*AO43</f>
        <v>0</v>
      </c>
      <c r="AX43" s="70">
        <f>G43*AP43</f>
        <v>0</v>
      </c>
      <c r="AY43" s="71" t="s">
        <v>111</v>
      </c>
      <c r="AZ43" s="71" t="s">
        <v>175</v>
      </c>
      <c r="BA43" s="67" t="s">
        <v>176</v>
      </c>
      <c r="BC43" s="70">
        <f>AW43+AX43</f>
        <v>0</v>
      </c>
      <c r="BD43" s="70">
        <f>H43/(100-BE43)*100</f>
        <v>0</v>
      </c>
      <c r="BE43" s="70">
        <v>0</v>
      </c>
      <c r="BF43" s="70">
        <f>43</f>
        <v>43</v>
      </c>
      <c r="BH43" s="70">
        <f>G43*AO43</f>
        <v>0</v>
      </c>
      <c r="BI43" s="70">
        <f>G43*AP43</f>
        <v>0</v>
      </c>
      <c r="BJ43" s="70">
        <f>G43*H43</f>
        <v>0</v>
      </c>
    </row>
    <row r="44" spans="1:62" ht="15">
      <c r="A44" s="69" t="s">
        <v>177</v>
      </c>
      <c r="B44" s="69" t="s">
        <v>178</v>
      </c>
      <c r="C44" s="696" t="s">
        <v>179</v>
      </c>
      <c r="D44" s="693"/>
      <c r="E44" s="693"/>
      <c r="F44" s="69" t="s">
        <v>109</v>
      </c>
      <c r="G44" s="70">
        <v>588.3</v>
      </c>
      <c r="H44" s="580">
        <v>0</v>
      </c>
      <c r="I44" s="70">
        <f>G44*AO44</f>
        <v>0</v>
      </c>
      <c r="J44" s="70">
        <f>G44*AP44</f>
        <v>0</v>
      </c>
      <c r="K44" s="70">
        <f>G44*H44</f>
        <v>0</v>
      </c>
      <c r="L44" s="71" t="s">
        <v>120</v>
      </c>
      <c r="Z44" s="70">
        <f>IF(AQ44="5",BJ44,0)</f>
        <v>0</v>
      </c>
      <c r="AB44" s="70">
        <f>IF(AQ44="1",BH44,0)</f>
        <v>0</v>
      </c>
      <c r="AC44" s="70">
        <f>IF(AQ44="1",BI44,0)</f>
        <v>0</v>
      </c>
      <c r="AD44" s="70">
        <f>IF(AQ44="7",BH44,0)</f>
        <v>0</v>
      </c>
      <c r="AE44" s="70">
        <f>IF(AQ44="7",BI44,0)</f>
        <v>0</v>
      </c>
      <c r="AF44" s="70">
        <f>IF(AQ44="2",BH44,0)</f>
        <v>0</v>
      </c>
      <c r="AG44" s="70">
        <f>IF(AQ44="2",BI44,0)</f>
        <v>0</v>
      </c>
      <c r="AH44" s="70">
        <f>IF(AQ44="0",BJ44,0)</f>
        <v>0</v>
      </c>
      <c r="AI44" s="67" t="s">
        <v>171</v>
      </c>
      <c r="AJ44" s="70">
        <f>IF(AN44=0,K44,0)</f>
        <v>0</v>
      </c>
      <c r="AK44" s="70">
        <f>IF(AN44=15,K44,0)</f>
        <v>0</v>
      </c>
      <c r="AL44" s="70">
        <f>IF(AN44=21,K44,0)</f>
        <v>0</v>
      </c>
      <c r="AN44" s="70">
        <v>21</v>
      </c>
      <c r="AO44" s="70">
        <f>H44*0</f>
        <v>0</v>
      </c>
      <c r="AP44" s="70">
        <f>H44*(1-0)</f>
        <v>0</v>
      </c>
      <c r="AQ44" s="71" t="s">
        <v>106</v>
      </c>
      <c r="AV44" s="70">
        <f>AW44+AX44</f>
        <v>0</v>
      </c>
      <c r="AW44" s="70">
        <f>G44*AO44</f>
        <v>0</v>
      </c>
      <c r="AX44" s="70">
        <f>G44*AP44</f>
        <v>0</v>
      </c>
      <c r="AY44" s="71" t="s">
        <v>111</v>
      </c>
      <c r="AZ44" s="71" t="s">
        <v>175</v>
      </c>
      <c r="BA44" s="67" t="s">
        <v>176</v>
      </c>
      <c r="BC44" s="70">
        <f>AW44+AX44</f>
        <v>0</v>
      </c>
      <c r="BD44" s="70">
        <f>H44/(100-BE44)*100</f>
        <v>0</v>
      </c>
      <c r="BE44" s="70">
        <v>0</v>
      </c>
      <c r="BF44" s="70">
        <f>44</f>
        <v>44</v>
      </c>
      <c r="BH44" s="70">
        <f>G44*AO44</f>
        <v>0</v>
      </c>
      <c r="BI44" s="70">
        <f>G44*AP44</f>
        <v>0</v>
      </c>
      <c r="BJ44" s="70">
        <f>G44*H44</f>
        <v>0</v>
      </c>
    </row>
    <row r="45" spans="1:62" ht="15">
      <c r="A45" s="69" t="s">
        <v>180</v>
      </c>
      <c r="B45" s="69" t="s">
        <v>181</v>
      </c>
      <c r="C45" s="696" t="s">
        <v>182</v>
      </c>
      <c r="D45" s="693"/>
      <c r="E45" s="693"/>
      <c r="F45" s="69" t="s">
        <v>109</v>
      </c>
      <c r="G45" s="70">
        <v>588.3</v>
      </c>
      <c r="H45" s="580">
        <v>0</v>
      </c>
      <c r="I45" s="70">
        <f>G45*AO45</f>
        <v>0</v>
      </c>
      <c r="J45" s="70">
        <f>G45*AP45</f>
        <v>0</v>
      </c>
      <c r="K45" s="70">
        <f>G45*H45</f>
        <v>0</v>
      </c>
      <c r="L45" s="71" t="s">
        <v>120</v>
      </c>
      <c r="Z45" s="70">
        <f>IF(AQ45="5",BJ45,0)</f>
        <v>0</v>
      </c>
      <c r="AB45" s="70">
        <f>IF(AQ45="1",BH45,0)</f>
        <v>0</v>
      </c>
      <c r="AC45" s="70">
        <f>IF(AQ45="1",BI45,0)</f>
        <v>0</v>
      </c>
      <c r="AD45" s="70">
        <f>IF(AQ45="7",BH45,0)</f>
        <v>0</v>
      </c>
      <c r="AE45" s="70">
        <f>IF(AQ45="7",BI45,0)</f>
        <v>0</v>
      </c>
      <c r="AF45" s="70">
        <f>IF(AQ45="2",BH45,0)</f>
        <v>0</v>
      </c>
      <c r="AG45" s="70">
        <f>IF(AQ45="2",BI45,0)</f>
        <v>0</v>
      </c>
      <c r="AH45" s="70">
        <f>IF(AQ45="0",BJ45,0)</f>
        <v>0</v>
      </c>
      <c r="AI45" s="67" t="s">
        <v>171</v>
      </c>
      <c r="AJ45" s="70">
        <f>IF(AN45=0,K45,0)</f>
        <v>0</v>
      </c>
      <c r="AK45" s="70">
        <f>IF(AN45=15,K45,0)</f>
        <v>0</v>
      </c>
      <c r="AL45" s="70">
        <f>IF(AN45=21,K45,0)</f>
        <v>0</v>
      </c>
      <c r="AN45" s="70">
        <v>21</v>
      </c>
      <c r="AO45" s="70">
        <f>H45*0</f>
        <v>0</v>
      </c>
      <c r="AP45" s="70">
        <f>H45*(1-0)</f>
        <v>0</v>
      </c>
      <c r="AQ45" s="71" t="s">
        <v>106</v>
      </c>
      <c r="AV45" s="70">
        <f>AW45+AX45</f>
        <v>0</v>
      </c>
      <c r="AW45" s="70">
        <f>G45*AO45</f>
        <v>0</v>
      </c>
      <c r="AX45" s="70">
        <f>G45*AP45</f>
        <v>0</v>
      </c>
      <c r="AY45" s="71" t="s">
        <v>111</v>
      </c>
      <c r="AZ45" s="71" t="s">
        <v>175</v>
      </c>
      <c r="BA45" s="67" t="s">
        <v>176</v>
      </c>
      <c r="BC45" s="70">
        <f>AW45+AX45</f>
        <v>0</v>
      </c>
      <c r="BD45" s="70">
        <f>H45/(100-BE45)*100</f>
        <v>0</v>
      </c>
      <c r="BE45" s="70">
        <v>0</v>
      </c>
      <c r="BF45" s="70">
        <f>45</f>
        <v>45</v>
      </c>
      <c r="BH45" s="70">
        <f>G45*AO45</f>
        <v>0</v>
      </c>
      <c r="BI45" s="70">
        <f>G45*AP45</f>
        <v>0</v>
      </c>
      <c r="BJ45" s="70">
        <f>G45*H45</f>
        <v>0</v>
      </c>
    </row>
    <row r="46" spans="1:47" ht="15">
      <c r="A46" s="88"/>
      <c r="B46" s="89" t="s">
        <v>127</v>
      </c>
      <c r="C46" s="710" t="s">
        <v>128</v>
      </c>
      <c r="D46" s="711"/>
      <c r="E46" s="711"/>
      <c r="F46" s="88" t="s">
        <v>70</v>
      </c>
      <c r="G46" s="88" t="s">
        <v>70</v>
      </c>
      <c r="H46" s="88" t="s">
        <v>70</v>
      </c>
      <c r="I46" s="90">
        <f>SUM(I47:I51)</f>
        <v>0</v>
      </c>
      <c r="J46" s="90">
        <f>SUM(J47:J51)</f>
        <v>0</v>
      </c>
      <c r="K46" s="90">
        <f>SUM(K47:K51)</f>
        <v>0</v>
      </c>
      <c r="L46" s="91"/>
      <c r="AI46" s="67" t="s">
        <v>171</v>
      </c>
      <c r="AS46" s="68">
        <f>SUM(AJ47:AJ51)</f>
        <v>0</v>
      </c>
      <c r="AT46" s="68">
        <f>SUM(AK47:AK51)</f>
        <v>0</v>
      </c>
      <c r="AU46" s="68">
        <f>SUM(AL47:AL51)</f>
        <v>0</v>
      </c>
    </row>
    <row r="47" spans="1:62" ht="15">
      <c r="A47" s="72" t="s">
        <v>183</v>
      </c>
      <c r="B47" s="72" t="s">
        <v>184</v>
      </c>
      <c r="C47" s="712" t="s">
        <v>185</v>
      </c>
      <c r="D47" s="693"/>
      <c r="E47" s="713"/>
      <c r="F47" s="72" t="s">
        <v>132</v>
      </c>
      <c r="G47" s="73">
        <v>245.3</v>
      </c>
      <c r="H47" s="581">
        <v>0</v>
      </c>
      <c r="I47" s="73">
        <f>G47*AO47</f>
        <v>0</v>
      </c>
      <c r="J47" s="73">
        <f>G47*AP47</f>
        <v>0</v>
      </c>
      <c r="K47" s="73">
        <f>G47*H47</f>
        <v>0</v>
      </c>
      <c r="L47" s="74" t="s">
        <v>120</v>
      </c>
      <c r="Z47" s="70">
        <f>IF(AQ47="5",BJ47,0)</f>
        <v>0</v>
      </c>
      <c r="AB47" s="70">
        <f>IF(AQ47="1",BH47,0)</f>
        <v>0</v>
      </c>
      <c r="AC47" s="70">
        <f>IF(AQ47="1",BI47,0)</f>
        <v>0</v>
      </c>
      <c r="AD47" s="70">
        <f>IF(AQ47="7",BH47,0)</f>
        <v>0</v>
      </c>
      <c r="AE47" s="70">
        <f>IF(AQ47="7",BI47,0)</f>
        <v>0</v>
      </c>
      <c r="AF47" s="70">
        <f>IF(AQ47="2",BH47,0)</f>
        <v>0</v>
      </c>
      <c r="AG47" s="70">
        <f>IF(AQ47="2",BI47,0)</f>
        <v>0</v>
      </c>
      <c r="AH47" s="70">
        <f>IF(AQ47="0",BJ47,0)</f>
        <v>0</v>
      </c>
      <c r="AI47" s="67" t="s">
        <v>171</v>
      </c>
      <c r="AJ47" s="70">
        <f>IF(AN47=0,K47,0)</f>
        <v>0</v>
      </c>
      <c r="AK47" s="70">
        <f>IF(AN47=15,K47,0)</f>
        <v>0</v>
      </c>
      <c r="AL47" s="70">
        <f>IF(AN47=21,K47,0)</f>
        <v>0</v>
      </c>
      <c r="AN47" s="70">
        <v>21</v>
      </c>
      <c r="AO47" s="70">
        <f>H47*0.0764239215788089</f>
        <v>0</v>
      </c>
      <c r="AP47" s="70">
        <f>H47*(1-0.0764239215788089)</f>
        <v>0</v>
      </c>
      <c r="AQ47" s="71" t="s">
        <v>124</v>
      </c>
      <c r="AV47" s="70">
        <f>AW47+AX47</f>
        <v>0</v>
      </c>
      <c r="AW47" s="70">
        <f>G47*AO47</f>
        <v>0</v>
      </c>
      <c r="AX47" s="70">
        <f>G47*AP47</f>
        <v>0</v>
      </c>
      <c r="AY47" s="71" t="s">
        <v>133</v>
      </c>
      <c r="AZ47" s="71" t="s">
        <v>186</v>
      </c>
      <c r="BA47" s="67" t="s">
        <v>176</v>
      </c>
      <c r="BC47" s="70">
        <f>AW47+AX47</f>
        <v>0</v>
      </c>
      <c r="BD47" s="70">
        <f>H47/(100-BE47)*100</f>
        <v>0</v>
      </c>
      <c r="BE47" s="70">
        <v>0</v>
      </c>
      <c r="BF47" s="70">
        <f>47</f>
        <v>47</v>
      </c>
      <c r="BH47" s="70">
        <f>G47*AO47</f>
        <v>0</v>
      </c>
      <c r="BI47" s="70">
        <f>G47*AP47</f>
        <v>0</v>
      </c>
      <c r="BJ47" s="70">
        <f>G47*H47</f>
        <v>0</v>
      </c>
    </row>
    <row r="48" spans="2:12" ht="12.75" customHeight="1">
      <c r="B48" s="75" t="s">
        <v>67</v>
      </c>
      <c r="C48" s="725" t="s">
        <v>187</v>
      </c>
      <c r="D48" s="726"/>
      <c r="E48" s="726"/>
      <c r="F48" s="726"/>
      <c r="G48" s="726"/>
      <c r="H48" s="726"/>
      <c r="I48" s="726"/>
      <c r="J48" s="726"/>
      <c r="K48" s="726"/>
      <c r="L48" s="726"/>
    </row>
    <row r="49" spans="1:62" ht="15">
      <c r="A49" s="69" t="s">
        <v>188</v>
      </c>
      <c r="B49" s="69" t="s">
        <v>130</v>
      </c>
      <c r="C49" s="696" t="s">
        <v>131</v>
      </c>
      <c r="D49" s="693"/>
      <c r="E49" s="693"/>
      <c r="F49" s="69" t="s">
        <v>132</v>
      </c>
      <c r="G49" s="70">
        <v>388.3</v>
      </c>
      <c r="H49" s="580">
        <v>0</v>
      </c>
      <c r="I49" s="70">
        <f>G49*AO49</f>
        <v>0</v>
      </c>
      <c r="J49" s="70">
        <f>G49*AP49</f>
        <v>0</v>
      </c>
      <c r="K49" s="70">
        <f>G49*H49</f>
        <v>0</v>
      </c>
      <c r="L49" s="71" t="s">
        <v>110</v>
      </c>
      <c r="Z49" s="70">
        <f>IF(AQ49="5",BJ49,0)</f>
        <v>0</v>
      </c>
      <c r="AB49" s="70">
        <f>IF(AQ49="1",BH49,0)</f>
        <v>0</v>
      </c>
      <c r="AC49" s="70">
        <f>IF(AQ49="1",BI49,0)</f>
        <v>0</v>
      </c>
      <c r="AD49" s="70">
        <f>IF(AQ49="7",BH49,0)</f>
        <v>0</v>
      </c>
      <c r="AE49" s="70">
        <f>IF(AQ49="7",BI49,0)</f>
        <v>0</v>
      </c>
      <c r="AF49" s="70">
        <f>IF(AQ49="2",BH49,0)</f>
        <v>0</v>
      </c>
      <c r="AG49" s="70">
        <f>IF(AQ49="2",BI49,0)</f>
        <v>0</v>
      </c>
      <c r="AH49" s="70">
        <f>IF(AQ49="0",BJ49,0)</f>
        <v>0</v>
      </c>
      <c r="AI49" s="67" t="s">
        <v>171</v>
      </c>
      <c r="AJ49" s="70">
        <f>IF(AN49=0,K49,0)</f>
        <v>0</v>
      </c>
      <c r="AK49" s="70">
        <f>IF(AN49=15,K49,0)</f>
        <v>0</v>
      </c>
      <c r="AL49" s="70">
        <f>IF(AN49=21,K49,0)</f>
        <v>0</v>
      </c>
      <c r="AN49" s="70">
        <v>21</v>
      </c>
      <c r="AO49" s="70">
        <f>H49*0.0106885245901639</f>
        <v>0</v>
      </c>
      <c r="AP49" s="70">
        <f>H49*(1-0.0106885245901639)</f>
        <v>0</v>
      </c>
      <c r="AQ49" s="71" t="s">
        <v>124</v>
      </c>
      <c r="AV49" s="70">
        <f>AW49+AX49</f>
        <v>0</v>
      </c>
      <c r="AW49" s="70">
        <f>G49*AO49</f>
        <v>0</v>
      </c>
      <c r="AX49" s="70">
        <f>G49*AP49</f>
        <v>0</v>
      </c>
      <c r="AY49" s="71" t="s">
        <v>133</v>
      </c>
      <c r="AZ49" s="71" t="s">
        <v>186</v>
      </c>
      <c r="BA49" s="67" t="s">
        <v>176</v>
      </c>
      <c r="BC49" s="70">
        <f>AW49+AX49</f>
        <v>0</v>
      </c>
      <c r="BD49" s="70">
        <f>H49/(100-BE49)*100</f>
        <v>0</v>
      </c>
      <c r="BE49" s="70">
        <v>0</v>
      </c>
      <c r="BF49" s="70">
        <f>49</f>
        <v>49</v>
      </c>
      <c r="BH49" s="70">
        <f>G49*AO49</f>
        <v>0</v>
      </c>
      <c r="BI49" s="70">
        <f>G49*AP49</f>
        <v>0</v>
      </c>
      <c r="BJ49" s="70">
        <f>G49*H49</f>
        <v>0</v>
      </c>
    </row>
    <row r="50" spans="2:12" ht="12.75" customHeight="1">
      <c r="B50" s="75" t="s">
        <v>67</v>
      </c>
      <c r="C50" s="725" t="s">
        <v>189</v>
      </c>
      <c r="D50" s="726"/>
      <c r="E50" s="726"/>
      <c r="F50" s="726"/>
      <c r="G50" s="726"/>
      <c r="H50" s="726"/>
      <c r="I50" s="726"/>
      <c r="J50" s="726"/>
      <c r="K50" s="726"/>
      <c r="L50" s="726"/>
    </row>
    <row r="51" spans="1:62" ht="15">
      <c r="A51" s="69" t="s">
        <v>190</v>
      </c>
      <c r="B51" s="69" t="s">
        <v>137</v>
      </c>
      <c r="C51" s="696" t="s">
        <v>138</v>
      </c>
      <c r="D51" s="693"/>
      <c r="E51" s="693"/>
      <c r="F51" s="69" t="s">
        <v>132</v>
      </c>
      <c r="G51" s="70">
        <v>388.3</v>
      </c>
      <c r="H51" s="580">
        <v>0</v>
      </c>
      <c r="I51" s="70">
        <f>G51*AO51</f>
        <v>0</v>
      </c>
      <c r="J51" s="70">
        <f>G51*AP51</f>
        <v>0</v>
      </c>
      <c r="K51" s="70">
        <f>G51*H51</f>
        <v>0</v>
      </c>
      <c r="L51" s="71" t="s">
        <v>110</v>
      </c>
      <c r="Z51" s="70">
        <f>IF(AQ51="5",BJ51,0)</f>
        <v>0</v>
      </c>
      <c r="AB51" s="70">
        <f>IF(AQ51="1",BH51,0)</f>
        <v>0</v>
      </c>
      <c r="AC51" s="70">
        <f>IF(AQ51="1",BI51,0)</f>
        <v>0</v>
      </c>
      <c r="AD51" s="70">
        <f>IF(AQ51="7",BH51,0)</f>
        <v>0</v>
      </c>
      <c r="AE51" s="70">
        <f>IF(AQ51="7",BI51,0)</f>
        <v>0</v>
      </c>
      <c r="AF51" s="70">
        <f>IF(AQ51="2",BH51,0)</f>
        <v>0</v>
      </c>
      <c r="AG51" s="70">
        <f>IF(AQ51="2",BI51,0)</f>
        <v>0</v>
      </c>
      <c r="AH51" s="70">
        <f>IF(AQ51="0",BJ51,0)</f>
        <v>0</v>
      </c>
      <c r="AI51" s="67" t="s">
        <v>171</v>
      </c>
      <c r="AJ51" s="70">
        <f>IF(AN51=0,K51,0)</f>
        <v>0</v>
      </c>
      <c r="AK51" s="70">
        <f>IF(AN51=15,K51,0)</f>
        <v>0</v>
      </c>
      <c r="AL51" s="70">
        <f>IF(AN51=21,K51,0)</f>
        <v>0</v>
      </c>
      <c r="AN51" s="70">
        <v>21</v>
      </c>
      <c r="AO51" s="70">
        <f>H51*0</f>
        <v>0</v>
      </c>
      <c r="AP51" s="70">
        <f>H51*(1-0)</f>
        <v>0</v>
      </c>
      <c r="AQ51" s="71" t="s">
        <v>124</v>
      </c>
      <c r="AV51" s="70">
        <f>AW51+AX51</f>
        <v>0</v>
      </c>
      <c r="AW51" s="70">
        <f>G51*AO51</f>
        <v>0</v>
      </c>
      <c r="AX51" s="70">
        <f>G51*AP51</f>
        <v>0</v>
      </c>
      <c r="AY51" s="71" t="s">
        <v>133</v>
      </c>
      <c r="AZ51" s="71" t="s">
        <v>186</v>
      </c>
      <c r="BA51" s="67" t="s">
        <v>176</v>
      </c>
      <c r="BC51" s="70">
        <f>AW51+AX51</f>
        <v>0</v>
      </c>
      <c r="BD51" s="70">
        <f>H51/(100-BE51)*100</f>
        <v>0</v>
      </c>
      <c r="BE51" s="70">
        <v>0</v>
      </c>
      <c r="BF51" s="70">
        <f>51</f>
        <v>51</v>
      </c>
      <c r="BH51" s="70">
        <f>G51*AO51</f>
        <v>0</v>
      </c>
      <c r="BI51" s="70">
        <f>G51*AP51</f>
        <v>0</v>
      </c>
      <c r="BJ51" s="70">
        <f>G51*H51</f>
        <v>0</v>
      </c>
    </row>
    <row r="52" spans="1:12" ht="15">
      <c r="A52" s="48"/>
      <c r="B52" s="49"/>
      <c r="C52" s="727" t="s">
        <v>191</v>
      </c>
      <c r="D52" s="728"/>
      <c r="E52" s="728"/>
      <c r="F52" s="48" t="s">
        <v>70</v>
      </c>
      <c r="G52" s="48" t="s">
        <v>70</v>
      </c>
      <c r="H52" s="48" t="s">
        <v>70</v>
      </c>
      <c r="I52" s="50">
        <f>I53+I56</f>
        <v>0</v>
      </c>
      <c r="J52" s="50">
        <f>J53+J56</f>
        <v>0</v>
      </c>
      <c r="K52" s="50">
        <f>K53+K56</f>
        <v>0</v>
      </c>
      <c r="L52" s="51"/>
    </row>
    <row r="53" spans="1:47" ht="15">
      <c r="A53" s="88"/>
      <c r="B53" s="89" t="s">
        <v>103</v>
      </c>
      <c r="C53" s="710" t="s">
        <v>104</v>
      </c>
      <c r="D53" s="711"/>
      <c r="E53" s="711"/>
      <c r="F53" s="88" t="s">
        <v>70</v>
      </c>
      <c r="G53" s="88" t="s">
        <v>70</v>
      </c>
      <c r="H53" s="88" t="s">
        <v>70</v>
      </c>
      <c r="I53" s="90">
        <f>SUM(I54:I55)</f>
        <v>0</v>
      </c>
      <c r="J53" s="90">
        <f>SUM(J54:J55)</f>
        <v>0</v>
      </c>
      <c r="K53" s="90">
        <f>SUM(K54:K55)</f>
        <v>0</v>
      </c>
      <c r="L53" s="91"/>
      <c r="AI53" s="67" t="s">
        <v>192</v>
      </c>
      <c r="AS53" s="68">
        <f>SUM(AJ54:AJ55)</f>
        <v>0</v>
      </c>
      <c r="AT53" s="68">
        <f>SUM(AK54:AK55)</f>
        <v>0</v>
      </c>
      <c r="AU53" s="68">
        <f>SUM(AL54:AL55)</f>
        <v>0</v>
      </c>
    </row>
    <row r="54" spans="1:62" ht="15">
      <c r="A54" s="69" t="s">
        <v>193</v>
      </c>
      <c r="B54" s="69" t="s">
        <v>194</v>
      </c>
      <c r="C54" s="696" t="s">
        <v>195</v>
      </c>
      <c r="D54" s="693"/>
      <c r="E54" s="693"/>
      <c r="F54" s="69" t="s">
        <v>109</v>
      </c>
      <c r="G54" s="70">
        <v>182.4</v>
      </c>
      <c r="H54" s="580">
        <v>0</v>
      </c>
      <c r="I54" s="70">
        <f>G54*AO54</f>
        <v>0</v>
      </c>
      <c r="J54" s="70">
        <f>G54*AP54</f>
        <v>0</v>
      </c>
      <c r="K54" s="70">
        <f>G54*H54</f>
        <v>0</v>
      </c>
      <c r="L54" s="71" t="s">
        <v>120</v>
      </c>
      <c r="Z54" s="70">
        <f>IF(AQ54="5",BJ54,0)</f>
        <v>0</v>
      </c>
      <c r="AB54" s="70">
        <f>IF(AQ54="1",BH54,0)</f>
        <v>0</v>
      </c>
      <c r="AC54" s="70">
        <f>IF(AQ54="1",BI54,0)</f>
        <v>0</v>
      </c>
      <c r="AD54" s="70">
        <f>IF(AQ54="7",BH54,0)</f>
        <v>0</v>
      </c>
      <c r="AE54" s="70">
        <f>IF(AQ54="7",BI54,0)</f>
        <v>0</v>
      </c>
      <c r="AF54" s="70">
        <f>IF(AQ54="2",BH54,0)</f>
        <v>0</v>
      </c>
      <c r="AG54" s="70">
        <f>IF(AQ54="2",BI54,0)</f>
        <v>0</v>
      </c>
      <c r="AH54" s="70">
        <f>IF(AQ54="0",BJ54,0)</f>
        <v>0</v>
      </c>
      <c r="AI54" s="67" t="s">
        <v>192</v>
      </c>
      <c r="AJ54" s="70">
        <f>IF(AN54=0,K54,0)</f>
        <v>0</v>
      </c>
      <c r="AK54" s="70">
        <f>IF(AN54=15,K54,0)</f>
        <v>0</v>
      </c>
      <c r="AL54" s="70">
        <f>IF(AN54=21,K54,0)</f>
        <v>0</v>
      </c>
      <c r="AN54" s="70">
        <v>21</v>
      </c>
      <c r="AO54" s="70">
        <f>H54*0</f>
        <v>0</v>
      </c>
      <c r="AP54" s="70">
        <f>H54*(1-0)</f>
        <v>0</v>
      </c>
      <c r="AQ54" s="71" t="s">
        <v>106</v>
      </c>
      <c r="AV54" s="70">
        <f>AW54+AX54</f>
        <v>0</v>
      </c>
      <c r="AW54" s="70">
        <f>G54*AO54</f>
        <v>0</v>
      </c>
      <c r="AX54" s="70">
        <f>G54*AP54</f>
        <v>0</v>
      </c>
      <c r="AY54" s="71" t="s">
        <v>111</v>
      </c>
      <c r="AZ54" s="71" t="s">
        <v>196</v>
      </c>
      <c r="BA54" s="67" t="s">
        <v>197</v>
      </c>
      <c r="BC54" s="70">
        <f>AW54+AX54</f>
        <v>0</v>
      </c>
      <c r="BD54" s="70">
        <f>H54/(100-BE54)*100</f>
        <v>0</v>
      </c>
      <c r="BE54" s="70">
        <v>0</v>
      </c>
      <c r="BF54" s="70">
        <f>54</f>
        <v>54</v>
      </c>
      <c r="BH54" s="70">
        <f>G54*AO54</f>
        <v>0</v>
      </c>
      <c r="BI54" s="70">
        <f>G54*AP54</f>
        <v>0</v>
      </c>
      <c r="BJ54" s="70">
        <f>G54*H54</f>
        <v>0</v>
      </c>
    </row>
    <row r="55" spans="1:62" ht="15">
      <c r="A55" s="69" t="s">
        <v>198</v>
      </c>
      <c r="B55" s="69" t="s">
        <v>181</v>
      </c>
      <c r="C55" s="696" t="s">
        <v>199</v>
      </c>
      <c r="D55" s="693"/>
      <c r="E55" s="693"/>
      <c r="F55" s="69" t="s">
        <v>109</v>
      </c>
      <c r="G55" s="70">
        <v>182.4</v>
      </c>
      <c r="H55" s="580">
        <v>0</v>
      </c>
      <c r="I55" s="70">
        <f>G55*AO55</f>
        <v>0</v>
      </c>
      <c r="J55" s="70">
        <f>G55*AP55</f>
        <v>0</v>
      </c>
      <c r="K55" s="70">
        <f>G55*H55</f>
        <v>0</v>
      </c>
      <c r="L55" s="71" t="s">
        <v>120</v>
      </c>
      <c r="Z55" s="70">
        <f>IF(AQ55="5",BJ55,0)</f>
        <v>0</v>
      </c>
      <c r="AB55" s="70">
        <f>IF(AQ55="1",BH55,0)</f>
        <v>0</v>
      </c>
      <c r="AC55" s="70">
        <f>IF(AQ55="1",BI55,0)</f>
        <v>0</v>
      </c>
      <c r="AD55" s="70">
        <f>IF(AQ55="7",BH55,0)</f>
        <v>0</v>
      </c>
      <c r="AE55" s="70">
        <f>IF(AQ55="7",BI55,0)</f>
        <v>0</v>
      </c>
      <c r="AF55" s="70">
        <f>IF(AQ55="2",BH55,0)</f>
        <v>0</v>
      </c>
      <c r="AG55" s="70">
        <f>IF(AQ55="2",BI55,0)</f>
        <v>0</v>
      </c>
      <c r="AH55" s="70">
        <f>IF(AQ55="0",BJ55,0)</f>
        <v>0</v>
      </c>
      <c r="AI55" s="67" t="s">
        <v>192</v>
      </c>
      <c r="AJ55" s="70">
        <f>IF(AN55=0,K55,0)</f>
        <v>0</v>
      </c>
      <c r="AK55" s="70">
        <f>IF(AN55=15,K55,0)</f>
        <v>0</v>
      </c>
      <c r="AL55" s="70">
        <f>IF(AN55=21,K55,0)</f>
        <v>0</v>
      </c>
      <c r="AN55" s="70">
        <v>21</v>
      </c>
      <c r="AO55" s="70">
        <f>H55*0</f>
        <v>0</v>
      </c>
      <c r="AP55" s="70">
        <f>H55*(1-0)</f>
        <v>0</v>
      </c>
      <c r="AQ55" s="71" t="s">
        <v>106</v>
      </c>
      <c r="AV55" s="70">
        <f>AW55+AX55</f>
        <v>0</v>
      </c>
      <c r="AW55" s="70">
        <f>G55*AO55</f>
        <v>0</v>
      </c>
      <c r="AX55" s="70">
        <f>G55*AP55</f>
        <v>0</v>
      </c>
      <c r="AY55" s="71" t="s">
        <v>111</v>
      </c>
      <c r="AZ55" s="71" t="s">
        <v>196</v>
      </c>
      <c r="BA55" s="67" t="s">
        <v>197</v>
      </c>
      <c r="BC55" s="70">
        <f>AW55+AX55</f>
        <v>0</v>
      </c>
      <c r="BD55" s="70">
        <f>H55/(100-BE55)*100</f>
        <v>0</v>
      </c>
      <c r="BE55" s="70">
        <v>0</v>
      </c>
      <c r="BF55" s="70">
        <f>55</f>
        <v>55</v>
      </c>
      <c r="BH55" s="70">
        <f>G55*AO55</f>
        <v>0</v>
      </c>
      <c r="BI55" s="70">
        <f>G55*AP55</f>
        <v>0</v>
      </c>
      <c r="BJ55" s="70">
        <f>G55*H55</f>
        <v>0</v>
      </c>
    </row>
    <row r="56" spans="1:47" ht="15">
      <c r="A56" s="88"/>
      <c r="B56" s="89" t="s">
        <v>127</v>
      </c>
      <c r="C56" s="710" t="s">
        <v>128</v>
      </c>
      <c r="D56" s="711"/>
      <c r="E56" s="711"/>
      <c r="F56" s="88" t="s">
        <v>70</v>
      </c>
      <c r="G56" s="88" t="s">
        <v>70</v>
      </c>
      <c r="H56" s="88" t="s">
        <v>70</v>
      </c>
      <c r="I56" s="90">
        <f>SUM(I57:I59)</f>
        <v>0</v>
      </c>
      <c r="J56" s="90">
        <f>SUM(J57:J59)</f>
        <v>0</v>
      </c>
      <c r="K56" s="90">
        <f>SUM(K57:K59)</f>
        <v>0</v>
      </c>
      <c r="L56" s="91"/>
      <c r="AI56" s="67" t="s">
        <v>192</v>
      </c>
      <c r="AS56" s="68">
        <f>SUM(AJ57:AJ59)</f>
        <v>0</v>
      </c>
      <c r="AT56" s="68">
        <f>SUM(AK57:AK59)</f>
        <v>0</v>
      </c>
      <c r="AU56" s="68">
        <f>SUM(AL57:AL59)</f>
        <v>0</v>
      </c>
    </row>
    <row r="57" spans="1:62" ht="15">
      <c r="A57" s="69" t="s">
        <v>200</v>
      </c>
      <c r="B57" s="69" t="s">
        <v>130</v>
      </c>
      <c r="C57" s="696" t="s">
        <v>131</v>
      </c>
      <c r="D57" s="693"/>
      <c r="E57" s="693"/>
      <c r="F57" s="69" t="s">
        <v>132</v>
      </c>
      <c r="G57" s="70">
        <v>150.8</v>
      </c>
      <c r="H57" s="580">
        <v>0</v>
      </c>
      <c r="I57" s="70">
        <f>G57*AO57</f>
        <v>0</v>
      </c>
      <c r="J57" s="70">
        <f>G57*AP57</f>
        <v>0</v>
      </c>
      <c r="K57" s="70">
        <f>G57*H57</f>
        <v>0</v>
      </c>
      <c r="L57" s="71" t="s">
        <v>110</v>
      </c>
      <c r="Z57" s="70">
        <f>IF(AQ57="5",BJ57,0)</f>
        <v>0</v>
      </c>
      <c r="AB57" s="70">
        <f>IF(AQ57="1",BH57,0)</f>
        <v>0</v>
      </c>
      <c r="AC57" s="70">
        <f>IF(AQ57="1",BI57,0)</f>
        <v>0</v>
      </c>
      <c r="AD57" s="70">
        <f>IF(AQ57="7",BH57,0)</f>
        <v>0</v>
      </c>
      <c r="AE57" s="70">
        <f>IF(AQ57="7",BI57,0)</f>
        <v>0</v>
      </c>
      <c r="AF57" s="70">
        <f>IF(AQ57="2",BH57,0)</f>
        <v>0</v>
      </c>
      <c r="AG57" s="70">
        <f>IF(AQ57="2",BI57,0)</f>
        <v>0</v>
      </c>
      <c r="AH57" s="70">
        <f>IF(AQ57="0",BJ57,0)</f>
        <v>0</v>
      </c>
      <c r="AI57" s="67" t="s">
        <v>192</v>
      </c>
      <c r="AJ57" s="70">
        <f>IF(AN57=0,K57,0)</f>
        <v>0</v>
      </c>
      <c r="AK57" s="70">
        <f>IF(AN57=15,K57,0)</f>
        <v>0</v>
      </c>
      <c r="AL57" s="70">
        <f>IF(AN57=21,K57,0)</f>
        <v>0</v>
      </c>
      <c r="AN57" s="70">
        <v>21</v>
      </c>
      <c r="AO57" s="70">
        <f>H57*0.0106885245901639</f>
        <v>0</v>
      </c>
      <c r="AP57" s="70">
        <f>H57*(1-0.0106885245901639)</f>
        <v>0</v>
      </c>
      <c r="AQ57" s="71" t="s">
        <v>124</v>
      </c>
      <c r="AV57" s="70">
        <f>AW57+AX57</f>
        <v>0</v>
      </c>
      <c r="AW57" s="70">
        <f>G57*AO57</f>
        <v>0</v>
      </c>
      <c r="AX57" s="70">
        <f>G57*AP57</f>
        <v>0</v>
      </c>
      <c r="AY57" s="71" t="s">
        <v>133</v>
      </c>
      <c r="AZ57" s="71" t="s">
        <v>201</v>
      </c>
      <c r="BA57" s="67" t="s">
        <v>197</v>
      </c>
      <c r="BC57" s="70">
        <f>AW57+AX57</f>
        <v>0</v>
      </c>
      <c r="BD57" s="70">
        <f>H57/(100-BE57)*100</f>
        <v>0</v>
      </c>
      <c r="BE57" s="70">
        <v>0</v>
      </c>
      <c r="BF57" s="70">
        <f>57</f>
        <v>57</v>
      </c>
      <c r="BH57" s="70">
        <f>G57*AO57</f>
        <v>0</v>
      </c>
      <c r="BI57" s="70">
        <f>G57*AP57</f>
        <v>0</v>
      </c>
      <c r="BJ57" s="70">
        <f>G57*H57</f>
        <v>0</v>
      </c>
    </row>
    <row r="58" spans="2:12" ht="12.75" customHeight="1">
      <c r="B58" s="75" t="s">
        <v>67</v>
      </c>
      <c r="C58" s="725" t="s">
        <v>202</v>
      </c>
      <c r="D58" s="726"/>
      <c r="E58" s="726"/>
      <c r="F58" s="726"/>
      <c r="G58" s="726"/>
      <c r="H58" s="726"/>
      <c r="I58" s="726"/>
      <c r="J58" s="726"/>
      <c r="K58" s="726"/>
      <c r="L58" s="726"/>
    </row>
    <row r="59" spans="1:62" ht="15">
      <c r="A59" s="69" t="s">
        <v>203</v>
      </c>
      <c r="B59" s="69" t="s">
        <v>137</v>
      </c>
      <c r="C59" s="696" t="s">
        <v>138</v>
      </c>
      <c r="D59" s="693"/>
      <c r="E59" s="693"/>
      <c r="F59" s="69" t="s">
        <v>132</v>
      </c>
      <c r="G59" s="70">
        <v>150.8</v>
      </c>
      <c r="H59" s="580">
        <v>0</v>
      </c>
      <c r="I59" s="70">
        <f>G59*AO59</f>
        <v>0</v>
      </c>
      <c r="J59" s="70">
        <f>G59*AP59</f>
        <v>0</v>
      </c>
      <c r="K59" s="70">
        <f>G59*H59</f>
        <v>0</v>
      </c>
      <c r="L59" s="71" t="s">
        <v>110</v>
      </c>
      <c r="Z59" s="70">
        <f>IF(AQ59="5",BJ59,0)</f>
        <v>0</v>
      </c>
      <c r="AB59" s="70">
        <f>IF(AQ59="1",BH59,0)</f>
        <v>0</v>
      </c>
      <c r="AC59" s="70">
        <f>IF(AQ59="1",BI59,0)</f>
        <v>0</v>
      </c>
      <c r="AD59" s="70">
        <f>IF(AQ59="7",BH59,0)</f>
        <v>0</v>
      </c>
      <c r="AE59" s="70">
        <f>IF(AQ59="7",BI59,0)</f>
        <v>0</v>
      </c>
      <c r="AF59" s="70">
        <f>IF(AQ59="2",BH59,0)</f>
        <v>0</v>
      </c>
      <c r="AG59" s="70">
        <f>IF(AQ59="2",BI59,0)</f>
        <v>0</v>
      </c>
      <c r="AH59" s="70">
        <f>IF(AQ59="0",BJ59,0)</f>
        <v>0</v>
      </c>
      <c r="AI59" s="67" t="s">
        <v>192</v>
      </c>
      <c r="AJ59" s="70">
        <f>IF(AN59=0,K59,0)</f>
        <v>0</v>
      </c>
      <c r="AK59" s="70">
        <f>IF(AN59=15,K59,0)</f>
        <v>0</v>
      </c>
      <c r="AL59" s="70">
        <f>IF(AN59=21,K59,0)</f>
        <v>0</v>
      </c>
      <c r="AN59" s="70">
        <v>21</v>
      </c>
      <c r="AO59" s="70">
        <f>H59*0</f>
        <v>0</v>
      </c>
      <c r="AP59" s="70">
        <f>H59*(1-0)</f>
        <v>0</v>
      </c>
      <c r="AQ59" s="71" t="s">
        <v>124</v>
      </c>
      <c r="AV59" s="70">
        <f>AW59+AX59</f>
        <v>0</v>
      </c>
      <c r="AW59" s="70">
        <f>G59*AO59</f>
        <v>0</v>
      </c>
      <c r="AX59" s="70">
        <f>G59*AP59</f>
        <v>0</v>
      </c>
      <c r="AY59" s="71" t="s">
        <v>133</v>
      </c>
      <c r="AZ59" s="71" t="s">
        <v>201</v>
      </c>
      <c r="BA59" s="67" t="s">
        <v>197</v>
      </c>
      <c r="BC59" s="70">
        <f>AW59+AX59</f>
        <v>0</v>
      </c>
      <c r="BD59" s="70">
        <f>H59/(100-BE59)*100</f>
        <v>0</v>
      </c>
      <c r="BE59" s="70">
        <v>0</v>
      </c>
      <c r="BF59" s="70">
        <f>59</f>
        <v>59</v>
      </c>
      <c r="BH59" s="70">
        <f>G59*AO59</f>
        <v>0</v>
      </c>
      <c r="BI59" s="70">
        <f>G59*AP59</f>
        <v>0</v>
      </c>
      <c r="BJ59" s="70">
        <f>G59*H59</f>
        <v>0</v>
      </c>
    </row>
    <row r="60" spans="1:12" ht="15">
      <c r="A60" s="48"/>
      <c r="B60" s="49"/>
      <c r="C60" s="727" t="s">
        <v>204</v>
      </c>
      <c r="D60" s="728"/>
      <c r="E60" s="728"/>
      <c r="F60" s="48" t="s">
        <v>70</v>
      </c>
      <c r="G60" s="48" t="s">
        <v>70</v>
      </c>
      <c r="H60" s="48" t="s">
        <v>70</v>
      </c>
      <c r="I60" s="50">
        <f>I61+I64</f>
        <v>0</v>
      </c>
      <c r="J60" s="50">
        <f>J61+J64</f>
        <v>0</v>
      </c>
      <c r="K60" s="50">
        <f>K61+K64</f>
        <v>0</v>
      </c>
      <c r="L60" s="51"/>
    </row>
    <row r="61" spans="1:47" ht="15">
      <c r="A61" s="88"/>
      <c r="B61" s="89" t="s">
        <v>103</v>
      </c>
      <c r="C61" s="710" t="s">
        <v>104</v>
      </c>
      <c r="D61" s="711"/>
      <c r="E61" s="711"/>
      <c r="F61" s="88" t="s">
        <v>70</v>
      </c>
      <c r="G61" s="88" t="s">
        <v>70</v>
      </c>
      <c r="H61" s="88" t="s">
        <v>70</v>
      </c>
      <c r="I61" s="90">
        <f>SUM(I62:I63)</f>
        <v>0</v>
      </c>
      <c r="J61" s="90">
        <f>SUM(J62:J63)</f>
        <v>0</v>
      </c>
      <c r="K61" s="90">
        <f>SUM(K62:K63)</f>
        <v>0</v>
      </c>
      <c r="L61" s="91"/>
      <c r="AI61" s="67" t="s">
        <v>205</v>
      </c>
      <c r="AS61" s="68">
        <f>SUM(AJ62:AJ63)</f>
        <v>0</v>
      </c>
      <c r="AT61" s="68">
        <f>SUM(AK62:AK63)</f>
        <v>0</v>
      </c>
      <c r="AU61" s="68">
        <f>SUM(AL62:AL63)</f>
        <v>0</v>
      </c>
    </row>
    <row r="62" spans="1:62" ht="15">
      <c r="A62" s="69" t="s">
        <v>206</v>
      </c>
      <c r="B62" s="69" t="s">
        <v>207</v>
      </c>
      <c r="C62" s="696" t="s">
        <v>208</v>
      </c>
      <c r="D62" s="693"/>
      <c r="E62" s="693"/>
      <c r="F62" s="69" t="s">
        <v>209</v>
      </c>
      <c r="G62" s="70">
        <v>439.2</v>
      </c>
      <c r="H62" s="580">
        <v>0</v>
      </c>
      <c r="I62" s="70">
        <f>G62*AO62</f>
        <v>0</v>
      </c>
      <c r="J62" s="70">
        <f>G62*AP62</f>
        <v>0</v>
      </c>
      <c r="K62" s="70">
        <f>G62*H62</f>
        <v>0</v>
      </c>
      <c r="L62" s="71" t="s">
        <v>120</v>
      </c>
      <c r="Z62" s="70">
        <f>IF(AQ62="5",BJ62,0)</f>
        <v>0</v>
      </c>
      <c r="AB62" s="70">
        <f>IF(AQ62="1",BH62,0)</f>
        <v>0</v>
      </c>
      <c r="AC62" s="70">
        <f>IF(AQ62="1",BI62,0)</f>
        <v>0</v>
      </c>
      <c r="AD62" s="70">
        <f>IF(AQ62="7",BH62,0)</f>
        <v>0</v>
      </c>
      <c r="AE62" s="70">
        <f>IF(AQ62="7",BI62,0)</f>
        <v>0</v>
      </c>
      <c r="AF62" s="70">
        <f>IF(AQ62="2",BH62,0)</f>
        <v>0</v>
      </c>
      <c r="AG62" s="70">
        <f>IF(AQ62="2",BI62,0)</f>
        <v>0</v>
      </c>
      <c r="AH62" s="70">
        <f>IF(AQ62="0",BJ62,0)</f>
        <v>0</v>
      </c>
      <c r="AI62" s="67" t="s">
        <v>205</v>
      </c>
      <c r="AJ62" s="70">
        <f>IF(AN62=0,K62,0)</f>
        <v>0</v>
      </c>
      <c r="AK62" s="70">
        <f>IF(AN62=15,K62,0)</f>
        <v>0</v>
      </c>
      <c r="AL62" s="70">
        <f>IF(AN62=21,K62,0)</f>
        <v>0</v>
      </c>
      <c r="AN62" s="70">
        <v>21</v>
      </c>
      <c r="AO62" s="70">
        <f>H62*0</f>
        <v>0</v>
      </c>
      <c r="AP62" s="70">
        <f>H62*(1-0)</f>
        <v>0</v>
      </c>
      <c r="AQ62" s="71" t="s">
        <v>106</v>
      </c>
      <c r="AV62" s="70">
        <f>AW62+AX62</f>
        <v>0</v>
      </c>
      <c r="AW62" s="70">
        <f>G62*AO62</f>
        <v>0</v>
      </c>
      <c r="AX62" s="70">
        <f>G62*AP62</f>
        <v>0</v>
      </c>
      <c r="AY62" s="71" t="s">
        <v>111</v>
      </c>
      <c r="AZ62" s="71" t="s">
        <v>210</v>
      </c>
      <c r="BA62" s="67" t="s">
        <v>211</v>
      </c>
      <c r="BC62" s="70">
        <f>AW62+AX62</f>
        <v>0</v>
      </c>
      <c r="BD62" s="70">
        <f>H62/(100-BE62)*100</f>
        <v>0</v>
      </c>
      <c r="BE62" s="70">
        <v>0</v>
      </c>
      <c r="BF62" s="70">
        <f>62</f>
        <v>62</v>
      </c>
      <c r="BH62" s="70">
        <f>G62*AO62</f>
        <v>0</v>
      </c>
      <c r="BI62" s="70">
        <f>G62*AP62</f>
        <v>0</v>
      </c>
      <c r="BJ62" s="70">
        <f>G62*H62</f>
        <v>0</v>
      </c>
    </row>
    <row r="63" spans="1:62" ht="15">
      <c r="A63" s="69" t="s">
        <v>212</v>
      </c>
      <c r="B63" s="69" t="s">
        <v>213</v>
      </c>
      <c r="C63" s="696" t="s">
        <v>214</v>
      </c>
      <c r="D63" s="693"/>
      <c r="E63" s="693"/>
      <c r="F63" s="69" t="s">
        <v>109</v>
      </c>
      <c r="G63" s="70">
        <v>143.6</v>
      </c>
      <c r="H63" s="580">
        <v>0</v>
      </c>
      <c r="I63" s="70">
        <f>G63*AO63</f>
        <v>0</v>
      </c>
      <c r="J63" s="70">
        <f>G63*AP63</f>
        <v>0</v>
      </c>
      <c r="K63" s="70">
        <f>G63*H63</f>
        <v>0</v>
      </c>
      <c r="L63" s="71" t="s">
        <v>120</v>
      </c>
      <c r="Z63" s="70">
        <f>IF(AQ63="5",BJ63,0)</f>
        <v>0</v>
      </c>
      <c r="AB63" s="70">
        <f>IF(AQ63="1",BH63,0)</f>
        <v>0</v>
      </c>
      <c r="AC63" s="70">
        <f>IF(AQ63="1",BI63,0)</f>
        <v>0</v>
      </c>
      <c r="AD63" s="70">
        <f>IF(AQ63="7",BH63,0)</f>
        <v>0</v>
      </c>
      <c r="AE63" s="70">
        <f>IF(AQ63="7",BI63,0)</f>
        <v>0</v>
      </c>
      <c r="AF63" s="70">
        <f>IF(AQ63="2",BH63,0)</f>
        <v>0</v>
      </c>
      <c r="AG63" s="70">
        <f>IF(AQ63="2",BI63,0)</f>
        <v>0</v>
      </c>
      <c r="AH63" s="70">
        <f>IF(AQ63="0",BJ63,0)</f>
        <v>0</v>
      </c>
      <c r="AI63" s="67" t="s">
        <v>205</v>
      </c>
      <c r="AJ63" s="70">
        <f>IF(AN63=0,K63,0)</f>
        <v>0</v>
      </c>
      <c r="AK63" s="70">
        <f>IF(AN63=15,K63,0)</f>
        <v>0</v>
      </c>
      <c r="AL63" s="70">
        <f>IF(AN63=21,K63,0)</f>
        <v>0</v>
      </c>
      <c r="AN63" s="70">
        <v>21</v>
      </c>
      <c r="AO63" s="70">
        <f>H63*0</f>
        <v>0</v>
      </c>
      <c r="AP63" s="70">
        <f>H63*(1-0)</f>
        <v>0</v>
      </c>
      <c r="AQ63" s="71" t="s">
        <v>106</v>
      </c>
      <c r="AV63" s="70">
        <f>AW63+AX63</f>
        <v>0</v>
      </c>
      <c r="AW63" s="70">
        <f>G63*AO63</f>
        <v>0</v>
      </c>
      <c r="AX63" s="70">
        <f>G63*AP63</f>
        <v>0</v>
      </c>
      <c r="AY63" s="71" t="s">
        <v>111</v>
      </c>
      <c r="AZ63" s="71" t="s">
        <v>210</v>
      </c>
      <c r="BA63" s="67" t="s">
        <v>211</v>
      </c>
      <c r="BC63" s="70">
        <f>AW63+AX63</f>
        <v>0</v>
      </c>
      <c r="BD63" s="70">
        <f>H63/(100-BE63)*100</f>
        <v>0</v>
      </c>
      <c r="BE63" s="70">
        <v>0</v>
      </c>
      <c r="BF63" s="70">
        <f>63</f>
        <v>63</v>
      </c>
      <c r="BH63" s="70">
        <f>G63*AO63</f>
        <v>0</v>
      </c>
      <c r="BI63" s="70">
        <f>G63*AP63</f>
        <v>0</v>
      </c>
      <c r="BJ63" s="70">
        <f>G63*H63</f>
        <v>0</v>
      </c>
    </row>
    <row r="64" spans="1:47" ht="15">
      <c r="A64" s="88"/>
      <c r="B64" s="89" t="s">
        <v>127</v>
      </c>
      <c r="C64" s="710" t="s">
        <v>128</v>
      </c>
      <c r="D64" s="711"/>
      <c r="E64" s="711"/>
      <c r="F64" s="88" t="s">
        <v>70</v>
      </c>
      <c r="G64" s="88" t="s">
        <v>70</v>
      </c>
      <c r="H64" s="88" t="s">
        <v>70</v>
      </c>
      <c r="I64" s="90">
        <f>SUM(I65:I67)</f>
        <v>0</v>
      </c>
      <c r="J64" s="90">
        <f>SUM(J65:J67)</f>
        <v>0</v>
      </c>
      <c r="K64" s="90">
        <f>SUM(K65:K67)</f>
        <v>0</v>
      </c>
      <c r="L64" s="91"/>
      <c r="AI64" s="67" t="s">
        <v>205</v>
      </c>
      <c r="AS64" s="68">
        <f>SUM(AJ65:AJ67)</f>
        <v>0</v>
      </c>
      <c r="AT64" s="68">
        <f>SUM(AK65:AK67)</f>
        <v>0</v>
      </c>
      <c r="AU64" s="68">
        <f>SUM(AL65:AL67)</f>
        <v>0</v>
      </c>
    </row>
    <row r="65" spans="1:62" ht="15">
      <c r="A65" s="69" t="s">
        <v>215</v>
      </c>
      <c r="B65" s="69" t="s">
        <v>130</v>
      </c>
      <c r="C65" s="696" t="s">
        <v>131</v>
      </c>
      <c r="D65" s="693"/>
      <c r="E65" s="693"/>
      <c r="F65" s="69" t="s">
        <v>132</v>
      </c>
      <c r="G65" s="70">
        <v>225.1</v>
      </c>
      <c r="H65" s="580">
        <v>0</v>
      </c>
      <c r="I65" s="70">
        <f>G65*AO65</f>
        <v>0</v>
      </c>
      <c r="J65" s="70">
        <f>G65*AP65</f>
        <v>0</v>
      </c>
      <c r="K65" s="70">
        <f>G65*H65</f>
        <v>0</v>
      </c>
      <c r="L65" s="71" t="s">
        <v>110</v>
      </c>
      <c r="Z65" s="70">
        <f>IF(AQ65="5",BJ65,0)</f>
        <v>0</v>
      </c>
      <c r="AB65" s="70">
        <f>IF(AQ65="1",BH65,0)</f>
        <v>0</v>
      </c>
      <c r="AC65" s="70">
        <f>IF(AQ65="1",BI65,0)</f>
        <v>0</v>
      </c>
      <c r="AD65" s="70">
        <f>IF(AQ65="7",BH65,0)</f>
        <v>0</v>
      </c>
      <c r="AE65" s="70">
        <f>IF(AQ65="7",BI65,0)</f>
        <v>0</v>
      </c>
      <c r="AF65" s="70">
        <f>IF(AQ65="2",BH65,0)</f>
        <v>0</v>
      </c>
      <c r="AG65" s="70">
        <f>IF(AQ65="2",BI65,0)</f>
        <v>0</v>
      </c>
      <c r="AH65" s="70">
        <f>IF(AQ65="0",BJ65,0)</f>
        <v>0</v>
      </c>
      <c r="AI65" s="67" t="s">
        <v>205</v>
      </c>
      <c r="AJ65" s="70">
        <f>IF(AN65=0,K65,0)</f>
        <v>0</v>
      </c>
      <c r="AK65" s="70">
        <f>IF(AN65=15,K65,0)</f>
        <v>0</v>
      </c>
      <c r="AL65" s="70">
        <f>IF(AN65=21,K65,0)</f>
        <v>0</v>
      </c>
      <c r="AN65" s="70">
        <v>21</v>
      </c>
      <c r="AO65" s="70">
        <f>H65*0.0106885245901639</f>
        <v>0</v>
      </c>
      <c r="AP65" s="70">
        <f>H65*(1-0.0106885245901639)</f>
        <v>0</v>
      </c>
      <c r="AQ65" s="71" t="s">
        <v>124</v>
      </c>
      <c r="AV65" s="70">
        <f>AW65+AX65</f>
        <v>0</v>
      </c>
      <c r="AW65" s="70">
        <f>G65*AO65</f>
        <v>0</v>
      </c>
      <c r="AX65" s="70">
        <f>G65*AP65</f>
        <v>0</v>
      </c>
      <c r="AY65" s="71" t="s">
        <v>133</v>
      </c>
      <c r="AZ65" s="71" t="s">
        <v>216</v>
      </c>
      <c r="BA65" s="67" t="s">
        <v>211</v>
      </c>
      <c r="BC65" s="70">
        <f>AW65+AX65</f>
        <v>0</v>
      </c>
      <c r="BD65" s="70">
        <f>H65/(100-BE65)*100</f>
        <v>0</v>
      </c>
      <c r="BE65" s="70">
        <v>0</v>
      </c>
      <c r="BF65" s="70">
        <f>65</f>
        <v>65</v>
      </c>
      <c r="BH65" s="70">
        <f>G65*AO65</f>
        <v>0</v>
      </c>
      <c r="BI65" s="70">
        <f>G65*AP65</f>
        <v>0</v>
      </c>
      <c r="BJ65" s="70">
        <f>G65*H65</f>
        <v>0</v>
      </c>
    </row>
    <row r="66" spans="2:12" ht="12.75" customHeight="1">
      <c r="B66" s="75" t="s">
        <v>67</v>
      </c>
      <c r="C66" s="725" t="s">
        <v>217</v>
      </c>
      <c r="D66" s="726"/>
      <c r="E66" s="726"/>
      <c r="F66" s="726"/>
      <c r="G66" s="726"/>
      <c r="H66" s="726"/>
      <c r="I66" s="726"/>
      <c r="J66" s="726"/>
      <c r="K66" s="726"/>
      <c r="L66" s="726"/>
    </row>
    <row r="67" spans="1:62" ht="15">
      <c r="A67" s="69" t="s">
        <v>218</v>
      </c>
      <c r="B67" s="69" t="s">
        <v>137</v>
      </c>
      <c r="C67" s="696" t="s">
        <v>138</v>
      </c>
      <c r="D67" s="693"/>
      <c r="E67" s="693"/>
      <c r="F67" s="69" t="s">
        <v>132</v>
      </c>
      <c r="G67" s="70">
        <v>225.1</v>
      </c>
      <c r="H67" s="580">
        <v>0</v>
      </c>
      <c r="I67" s="70">
        <f>G67*AO67</f>
        <v>0</v>
      </c>
      <c r="J67" s="70">
        <f>G67*AP67</f>
        <v>0</v>
      </c>
      <c r="K67" s="70">
        <f>G67*H67</f>
        <v>0</v>
      </c>
      <c r="L67" s="71" t="s">
        <v>110</v>
      </c>
      <c r="Z67" s="70">
        <f>IF(AQ67="5",BJ67,0)</f>
        <v>0</v>
      </c>
      <c r="AB67" s="70">
        <f>IF(AQ67="1",BH67,0)</f>
        <v>0</v>
      </c>
      <c r="AC67" s="70">
        <f>IF(AQ67="1",BI67,0)</f>
        <v>0</v>
      </c>
      <c r="AD67" s="70">
        <f>IF(AQ67="7",BH67,0)</f>
        <v>0</v>
      </c>
      <c r="AE67" s="70">
        <f>IF(AQ67="7",BI67,0)</f>
        <v>0</v>
      </c>
      <c r="AF67" s="70">
        <f>IF(AQ67="2",BH67,0)</f>
        <v>0</v>
      </c>
      <c r="AG67" s="70">
        <f>IF(AQ67="2",BI67,0)</f>
        <v>0</v>
      </c>
      <c r="AH67" s="70">
        <f>IF(AQ67="0",BJ67,0)</f>
        <v>0</v>
      </c>
      <c r="AI67" s="67" t="s">
        <v>205</v>
      </c>
      <c r="AJ67" s="70">
        <f>IF(AN67=0,K67,0)</f>
        <v>0</v>
      </c>
      <c r="AK67" s="70">
        <f>IF(AN67=15,K67,0)</f>
        <v>0</v>
      </c>
      <c r="AL67" s="70">
        <f>IF(AN67=21,K67,0)</f>
        <v>0</v>
      </c>
      <c r="AN67" s="70">
        <v>21</v>
      </c>
      <c r="AO67" s="70">
        <f>H67*0</f>
        <v>0</v>
      </c>
      <c r="AP67" s="70">
        <f>H67*(1-0)</f>
        <v>0</v>
      </c>
      <c r="AQ67" s="71" t="s">
        <v>124</v>
      </c>
      <c r="AV67" s="70">
        <f>AW67+AX67</f>
        <v>0</v>
      </c>
      <c r="AW67" s="70">
        <f>G67*AO67</f>
        <v>0</v>
      </c>
      <c r="AX67" s="70">
        <f>G67*AP67</f>
        <v>0</v>
      </c>
      <c r="AY67" s="71" t="s">
        <v>133</v>
      </c>
      <c r="AZ67" s="71" t="s">
        <v>216</v>
      </c>
      <c r="BA67" s="67" t="s">
        <v>211</v>
      </c>
      <c r="BC67" s="70">
        <f>AW67+AX67</f>
        <v>0</v>
      </c>
      <c r="BD67" s="70">
        <f>H67/(100-BE67)*100</f>
        <v>0</v>
      </c>
      <c r="BE67" s="70">
        <v>0</v>
      </c>
      <c r="BF67" s="70">
        <f>67</f>
        <v>67</v>
      </c>
      <c r="BH67" s="70">
        <f>G67*AO67</f>
        <v>0</v>
      </c>
      <c r="BI67" s="70">
        <f>G67*AP67</f>
        <v>0</v>
      </c>
      <c r="BJ67" s="70">
        <f>G67*H67</f>
        <v>0</v>
      </c>
    </row>
    <row r="68" spans="1:12" ht="15">
      <c r="A68" s="48"/>
      <c r="B68" s="49"/>
      <c r="C68" s="727" t="s">
        <v>219</v>
      </c>
      <c r="D68" s="728"/>
      <c r="E68" s="728"/>
      <c r="F68" s="48" t="s">
        <v>70</v>
      </c>
      <c r="G68" s="48" t="s">
        <v>70</v>
      </c>
      <c r="H68" s="48" t="s">
        <v>70</v>
      </c>
      <c r="I68" s="50">
        <f>I69+I72</f>
        <v>0</v>
      </c>
      <c r="J68" s="50">
        <f>J69+J72</f>
        <v>0</v>
      </c>
      <c r="K68" s="50">
        <f>K69+K72</f>
        <v>0</v>
      </c>
      <c r="L68" s="51"/>
    </row>
    <row r="69" spans="1:47" ht="15">
      <c r="A69" s="88"/>
      <c r="B69" s="89" t="s">
        <v>103</v>
      </c>
      <c r="C69" s="710" t="s">
        <v>104</v>
      </c>
      <c r="D69" s="711"/>
      <c r="E69" s="711"/>
      <c r="F69" s="88" t="s">
        <v>70</v>
      </c>
      <c r="G69" s="88" t="s">
        <v>70</v>
      </c>
      <c r="H69" s="88" t="s">
        <v>70</v>
      </c>
      <c r="I69" s="90">
        <f>SUM(I70:I71)</f>
        <v>0</v>
      </c>
      <c r="J69" s="90">
        <f>SUM(J70:J71)</f>
        <v>0</v>
      </c>
      <c r="K69" s="90">
        <f>SUM(K70:K71)</f>
        <v>0</v>
      </c>
      <c r="L69" s="91"/>
      <c r="AI69" s="67" t="s">
        <v>220</v>
      </c>
      <c r="AS69" s="68">
        <f>SUM(AJ70:AJ71)</f>
        <v>0</v>
      </c>
      <c r="AT69" s="68">
        <f>SUM(AK70:AK71)</f>
        <v>0</v>
      </c>
      <c r="AU69" s="68">
        <f>SUM(AL70:AL71)</f>
        <v>0</v>
      </c>
    </row>
    <row r="70" spans="1:62" ht="15">
      <c r="A70" s="69" t="s">
        <v>221</v>
      </c>
      <c r="B70" s="69" t="s">
        <v>222</v>
      </c>
      <c r="C70" s="696" t="s">
        <v>223</v>
      </c>
      <c r="D70" s="693"/>
      <c r="E70" s="693"/>
      <c r="F70" s="69" t="s">
        <v>109</v>
      </c>
      <c r="G70" s="70">
        <v>13.5</v>
      </c>
      <c r="H70" s="580">
        <v>0</v>
      </c>
      <c r="I70" s="70">
        <f>G70*AO70</f>
        <v>0</v>
      </c>
      <c r="J70" s="70">
        <f>G70*AP70</f>
        <v>0</v>
      </c>
      <c r="K70" s="70">
        <f>G70*H70</f>
        <v>0</v>
      </c>
      <c r="L70" s="71" t="s">
        <v>120</v>
      </c>
      <c r="Z70" s="70">
        <f>IF(AQ70="5",BJ70,0)</f>
        <v>0</v>
      </c>
      <c r="AB70" s="70">
        <f>IF(AQ70="1",BH70,0)</f>
        <v>0</v>
      </c>
      <c r="AC70" s="70">
        <f>IF(AQ70="1",BI70,0)</f>
        <v>0</v>
      </c>
      <c r="AD70" s="70">
        <f>IF(AQ70="7",BH70,0)</f>
        <v>0</v>
      </c>
      <c r="AE70" s="70">
        <f>IF(AQ70="7",BI70,0)</f>
        <v>0</v>
      </c>
      <c r="AF70" s="70">
        <f>IF(AQ70="2",BH70,0)</f>
        <v>0</v>
      </c>
      <c r="AG70" s="70">
        <f>IF(AQ70="2",BI70,0)</f>
        <v>0</v>
      </c>
      <c r="AH70" s="70">
        <f>IF(AQ70="0",BJ70,0)</f>
        <v>0</v>
      </c>
      <c r="AI70" s="67" t="s">
        <v>220</v>
      </c>
      <c r="AJ70" s="70">
        <f>IF(AN70=0,K70,0)</f>
        <v>0</v>
      </c>
      <c r="AK70" s="70">
        <f>IF(AN70=15,K70,0)</f>
        <v>0</v>
      </c>
      <c r="AL70" s="70">
        <f>IF(AN70=21,K70,0)</f>
        <v>0</v>
      </c>
      <c r="AN70" s="70">
        <v>21</v>
      </c>
      <c r="AO70" s="70">
        <f>H70*0</f>
        <v>0</v>
      </c>
      <c r="AP70" s="70">
        <f>H70*(1-0)</f>
        <v>0</v>
      </c>
      <c r="AQ70" s="71" t="s">
        <v>106</v>
      </c>
      <c r="AV70" s="70">
        <f>AW70+AX70</f>
        <v>0</v>
      </c>
      <c r="AW70" s="70">
        <f>G70*AO70</f>
        <v>0</v>
      </c>
      <c r="AX70" s="70">
        <f>G70*AP70</f>
        <v>0</v>
      </c>
      <c r="AY70" s="71" t="s">
        <v>111</v>
      </c>
      <c r="AZ70" s="71" t="s">
        <v>224</v>
      </c>
      <c r="BA70" s="67" t="s">
        <v>225</v>
      </c>
      <c r="BC70" s="70">
        <f>AW70+AX70</f>
        <v>0</v>
      </c>
      <c r="BD70" s="70">
        <f>H70/(100-BE70)*100</f>
        <v>0</v>
      </c>
      <c r="BE70" s="70">
        <v>0</v>
      </c>
      <c r="BF70" s="70">
        <f>70</f>
        <v>70</v>
      </c>
      <c r="BH70" s="70">
        <f>G70*AO70</f>
        <v>0</v>
      </c>
      <c r="BI70" s="70">
        <f>G70*AP70</f>
        <v>0</v>
      </c>
      <c r="BJ70" s="70">
        <f>G70*H70</f>
        <v>0</v>
      </c>
    </row>
    <row r="71" spans="1:62" ht="15">
      <c r="A71" s="69" t="s">
        <v>226</v>
      </c>
      <c r="B71" s="69" t="s">
        <v>227</v>
      </c>
      <c r="C71" s="696" t="s">
        <v>228</v>
      </c>
      <c r="D71" s="693"/>
      <c r="E71" s="693"/>
      <c r="F71" s="69" t="s">
        <v>109</v>
      </c>
      <c r="G71" s="70">
        <v>13.5</v>
      </c>
      <c r="H71" s="580">
        <v>0</v>
      </c>
      <c r="I71" s="70">
        <f>G71*AO71</f>
        <v>0</v>
      </c>
      <c r="J71" s="70">
        <f>G71*AP71</f>
        <v>0</v>
      </c>
      <c r="K71" s="70">
        <f>G71*H71</f>
        <v>0</v>
      </c>
      <c r="L71" s="71" t="s">
        <v>120</v>
      </c>
      <c r="Z71" s="70">
        <f>IF(AQ71="5",BJ71,0)</f>
        <v>0</v>
      </c>
      <c r="AB71" s="70">
        <f>IF(AQ71="1",BH71,0)</f>
        <v>0</v>
      </c>
      <c r="AC71" s="70">
        <f>IF(AQ71="1",BI71,0)</f>
        <v>0</v>
      </c>
      <c r="AD71" s="70">
        <f>IF(AQ71="7",BH71,0)</f>
        <v>0</v>
      </c>
      <c r="AE71" s="70">
        <f>IF(AQ71="7",BI71,0)</f>
        <v>0</v>
      </c>
      <c r="AF71" s="70">
        <f>IF(AQ71="2",BH71,0)</f>
        <v>0</v>
      </c>
      <c r="AG71" s="70">
        <f>IF(AQ71="2",BI71,0)</f>
        <v>0</v>
      </c>
      <c r="AH71" s="70">
        <f>IF(AQ71="0",BJ71,0)</f>
        <v>0</v>
      </c>
      <c r="AI71" s="67" t="s">
        <v>220</v>
      </c>
      <c r="AJ71" s="70">
        <f>IF(AN71=0,K71,0)</f>
        <v>0</v>
      </c>
      <c r="AK71" s="70">
        <f>IF(AN71=15,K71,0)</f>
        <v>0</v>
      </c>
      <c r="AL71" s="70">
        <f>IF(AN71=21,K71,0)</f>
        <v>0</v>
      </c>
      <c r="AN71" s="70">
        <v>21</v>
      </c>
      <c r="AO71" s="70">
        <f>H71*0</f>
        <v>0</v>
      </c>
      <c r="AP71" s="70">
        <f>H71*(1-0)</f>
        <v>0</v>
      </c>
      <c r="AQ71" s="71" t="s">
        <v>106</v>
      </c>
      <c r="AV71" s="70">
        <f>AW71+AX71</f>
        <v>0</v>
      </c>
      <c r="AW71" s="70">
        <f>G71*AO71</f>
        <v>0</v>
      </c>
      <c r="AX71" s="70">
        <f>G71*AP71</f>
        <v>0</v>
      </c>
      <c r="AY71" s="71" t="s">
        <v>111</v>
      </c>
      <c r="AZ71" s="71" t="s">
        <v>224</v>
      </c>
      <c r="BA71" s="67" t="s">
        <v>225</v>
      </c>
      <c r="BC71" s="70">
        <f>AW71+AX71</f>
        <v>0</v>
      </c>
      <c r="BD71" s="70">
        <f>H71/(100-BE71)*100</f>
        <v>0</v>
      </c>
      <c r="BE71" s="70">
        <v>0</v>
      </c>
      <c r="BF71" s="70">
        <f>71</f>
        <v>71</v>
      </c>
      <c r="BH71" s="70">
        <f>G71*AO71</f>
        <v>0</v>
      </c>
      <c r="BI71" s="70">
        <f>G71*AP71</f>
        <v>0</v>
      </c>
      <c r="BJ71" s="70">
        <f>G71*H71</f>
        <v>0</v>
      </c>
    </row>
    <row r="72" spans="1:47" ht="15">
      <c r="A72" s="88"/>
      <c r="B72" s="89" t="s">
        <v>127</v>
      </c>
      <c r="C72" s="710" t="s">
        <v>128</v>
      </c>
      <c r="D72" s="711"/>
      <c r="E72" s="711"/>
      <c r="F72" s="88" t="s">
        <v>70</v>
      </c>
      <c r="G72" s="88" t="s">
        <v>70</v>
      </c>
      <c r="H72" s="88" t="s">
        <v>70</v>
      </c>
      <c r="I72" s="90">
        <f>SUM(I73:I75)</f>
        <v>0</v>
      </c>
      <c r="J72" s="90">
        <f>SUM(J73:J75)</f>
        <v>0</v>
      </c>
      <c r="K72" s="90">
        <f>SUM(K73:K75)</f>
        <v>0</v>
      </c>
      <c r="L72" s="91"/>
      <c r="AI72" s="67" t="s">
        <v>220</v>
      </c>
      <c r="AS72" s="68">
        <f>SUM(AJ73:AJ75)</f>
        <v>0</v>
      </c>
      <c r="AT72" s="68">
        <f>SUM(AK73:AK75)</f>
        <v>0</v>
      </c>
      <c r="AU72" s="68">
        <f>SUM(AL73:AL75)</f>
        <v>0</v>
      </c>
    </row>
    <row r="73" spans="1:62" ht="15">
      <c r="A73" s="69" t="s">
        <v>229</v>
      </c>
      <c r="B73" s="69" t="s">
        <v>130</v>
      </c>
      <c r="C73" s="696" t="s">
        <v>131</v>
      </c>
      <c r="D73" s="693"/>
      <c r="E73" s="693"/>
      <c r="F73" s="69" t="s">
        <v>132</v>
      </c>
      <c r="G73" s="70">
        <v>10.1</v>
      </c>
      <c r="H73" s="580">
        <v>0</v>
      </c>
      <c r="I73" s="70">
        <f>G73*AO73</f>
        <v>0</v>
      </c>
      <c r="J73" s="70">
        <f>G73*AP73</f>
        <v>0</v>
      </c>
      <c r="K73" s="70">
        <f>G73*H73</f>
        <v>0</v>
      </c>
      <c r="L73" s="71" t="s">
        <v>110</v>
      </c>
      <c r="Z73" s="70">
        <f>IF(AQ73="5",BJ73,0)</f>
        <v>0</v>
      </c>
      <c r="AB73" s="70">
        <f>IF(AQ73="1",BH73,0)</f>
        <v>0</v>
      </c>
      <c r="AC73" s="70">
        <f>IF(AQ73="1",BI73,0)</f>
        <v>0</v>
      </c>
      <c r="AD73" s="70">
        <f>IF(AQ73="7",BH73,0)</f>
        <v>0</v>
      </c>
      <c r="AE73" s="70">
        <f>IF(AQ73="7",BI73,0)</f>
        <v>0</v>
      </c>
      <c r="AF73" s="70">
        <f>IF(AQ73="2",BH73,0)</f>
        <v>0</v>
      </c>
      <c r="AG73" s="70">
        <f>IF(AQ73="2",BI73,0)</f>
        <v>0</v>
      </c>
      <c r="AH73" s="70">
        <f>IF(AQ73="0",BJ73,0)</f>
        <v>0</v>
      </c>
      <c r="AI73" s="67" t="s">
        <v>220</v>
      </c>
      <c r="AJ73" s="70">
        <f>IF(AN73=0,K73,0)</f>
        <v>0</v>
      </c>
      <c r="AK73" s="70">
        <f>IF(AN73=15,K73,0)</f>
        <v>0</v>
      </c>
      <c r="AL73" s="70">
        <f>IF(AN73=21,K73,0)</f>
        <v>0</v>
      </c>
      <c r="AN73" s="70">
        <v>21</v>
      </c>
      <c r="AO73" s="70">
        <f>H73*0.0106885245901639</f>
        <v>0</v>
      </c>
      <c r="AP73" s="70">
        <f>H73*(1-0.0106885245901639)</f>
        <v>0</v>
      </c>
      <c r="AQ73" s="71" t="s">
        <v>124</v>
      </c>
      <c r="AV73" s="70">
        <f>AW73+AX73</f>
        <v>0</v>
      </c>
      <c r="AW73" s="70">
        <f>G73*AO73</f>
        <v>0</v>
      </c>
      <c r="AX73" s="70">
        <f>G73*AP73</f>
        <v>0</v>
      </c>
      <c r="AY73" s="71" t="s">
        <v>133</v>
      </c>
      <c r="AZ73" s="71" t="s">
        <v>230</v>
      </c>
      <c r="BA73" s="67" t="s">
        <v>225</v>
      </c>
      <c r="BC73" s="70">
        <f>AW73+AX73</f>
        <v>0</v>
      </c>
      <c r="BD73" s="70">
        <f>H73/(100-BE73)*100</f>
        <v>0</v>
      </c>
      <c r="BE73" s="70">
        <v>0</v>
      </c>
      <c r="BF73" s="70">
        <f>73</f>
        <v>73</v>
      </c>
      <c r="BH73" s="70">
        <f>G73*AO73</f>
        <v>0</v>
      </c>
      <c r="BI73" s="70">
        <f>G73*AP73</f>
        <v>0</v>
      </c>
      <c r="BJ73" s="70">
        <f>G73*H73</f>
        <v>0</v>
      </c>
    </row>
    <row r="74" spans="2:12" ht="12.75" customHeight="1">
      <c r="B74" s="75" t="s">
        <v>67</v>
      </c>
      <c r="C74" s="725" t="s">
        <v>231</v>
      </c>
      <c r="D74" s="726"/>
      <c r="E74" s="726"/>
      <c r="F74" s="726"/>
      <c r="G74" s="726"/>
      <c r="H74" s="726"/>
      <c r="I74" s="726"/>
      <c r="J74" s="726"/>
      <c r="K74" s="726"/>
      <c r="L74" s="726"/>
    </row>
    <row r="75" spans="1:62" ht="15">
      <c r="A75" s="69" t="s">
        <v>232</v>
      </c>
      <c r="B75" s="69" t="s">
        <v>137</v>
      </c>
      <c r="C75" s="696" t="s">
        <v>138</v>
      </c>
      <c r="D75" s="693"/>
      <c r="E75" s="693"/>
      <c r="F75" s="69" t="s">
        <v>132</v>
      </c>
      <c r="G75" s="70">
        <v>10.1</v>
      </c>
      <c r="H75" s="580">
        <v>0</v>
      </c>
      <c r="I75" s="70">
        <f>G75*AO75</f>
        <v>0</v>
      </c>
      <c r="J75" s="70">
        <f>G75*AP75</f>
        <v>0</v>
      </c>
      <c r="K75" s="70">
        <f>G75*H75</f>
        <v>0</v>
      </c>
      <c r="L75" s="71" t="s">
        <v>110</v>
      </c>
      <c r="Z75" s="70">
        <f>IF(AQ75="5",BJ75,0)</f>
        <v>0</v>
      </c>
      <c r="AB75" s="70">
        <f>IF(AQ75="1",BH75,0)</f>
        <v>0</v>
      </c>
      <c r="AC75" s="70">
        <f>IF(AQ75="1",BI75,0)</f>
        <v>0</v>
      </c>
      <c r="AD75" s="70">
        <f>IF(AQ75="7",BH75,0)</f>
        <v>0</v>
      </c>
      <c r="AE75" s="70">
        <f>IF(AQ75="7",BI75,0)</f>
        <v>0</v>
      </c>
      <c r="AF75" s="70">
        <f>IF(AQ75="2",BH75,0)</f>
        <v>0</v>
      </c>
      <c r="AG75" s="70">
        <f>IF(AQ75="2",BI75,0)</f>
        <v>0</v>
      </c>
      <c r="AH75" s="70">
        <f>IF(AQ75="0",BJ75,0)</f>
        <v>0</v>
      </c>
      <c r="AI75" s="67" t="s">
        <v>220</v>
      </c>
      <c r="AJ75" s="70">
        <f>IF(AN75=0,K75,0)</f>
        <v>0</v>
      </c>
      <c r="AK75" s="70">
        <f>IF(AN75=15,K75,0)</f>
        <v>0</v>
      </c>
      <c r="AL75" s="70">
        <f>IF(AN75=21,K75,0)</f>
        <v>0</v>
      </c>
      <c r="AN75" s="70">
        <v>21</v>
      </c>
      <c r="AO75" s="70">
        <f>H75*0</f>
        <v>0</v>
      </c>
      <c r="AP75" s="70">
        <f>H75*(1-0)</f>
        <v>0</v>
      </c>
      <c r="AQ75" s="71" t="s">
        <v>124</v>
      </c>
      <c r="AV75" s="70">
        <f>AW75+AX75</f>
        <v>0</v>
      </c>
      <c r="AW75" s="70">
        <f>G75*AO75</f>
        <v>0</v>
      </c>
      <c r="AX75" s="70">
        <f>G75*AP75</f>
        <v>0</v>
      </c>
      <c r="AY75" s="71" t="s">
        <v>133</v>
      </c>
      <c r="AZ75" s="71" t="s">
        <v>230</v>
      </c>
      <c r="BA75" s="67" t="s">
        <v>225</v>
      </c>
      <c r="BC75" s="70">
        <f>AW75+AX75</f>
        <v>0</v>
      </c>
      <c r="BD75" s="70">
        <f>H75/(100-BE75)*100</f>
        <v>0</v>
      </c>
      <c r="BE75" s="70">
        <v>0</v>
      </c>
      <c r="BF75" s="70">
        <f>75</f>
        <v>75</v>
      </c>
      <c r="BH75" s="70">
        <f>G75*AO75</f>
        <v>0</v>
      </c>
      <c r="BI75" s="70">
        <f>G75*AP75</f>
        <v>0</v>
      </c>
      <c r="BJ75" s="70">
        <f>G75*H75</f>
        <v>0</v>
      </c>
    </row>
    <row r="76" spans="1:12" ht="15">
      <c r="A76" s="48"/>
      <c r="B76" s="49"/>
      <c r="C76" s="727" t="s">
        <v>233</v>
      </c>
      <c r="D76" s="728"/>
      <c r="E76" s="728"/>
      <c r="F76" s="48" t="s">
        <v>70</v>
      </c>
      <c r="G76" s="48" t="s">
        <v>70</v>
      </c>
      <c r="H76" s="48" t="s">
        <v>70</v>
      </c>
      <c r="I76" s="50">
        <f>I77+I81</f>
        <v>0</v>
      </c>
      <c r="J76" s="50">
        <f>J77+J81</f>
        <v>0</v>
      </c>
      <c r="K76" s="50">
        <f>K77+K81</f>
        <v>0</v>
      </c>
      <c r="L76" s="51"/>
    </row>
    <row r="77" spans="1:47" ht="15">
      <c r="A77" s="88"/>
      <c r="B77" s="89" t="s">
        <v>103</v>
      </c>
      <c r="C77" s="710" t="s">
        <v>104</v>
      </c>
      <c r="D77" s="711"/>
      <c r="E77" s="711"/>
      <c r="F77" s="88" t="s">
        <v>70</v>
      </c>
      <c r="G77" s="88" t="s">
        <v>70</v>
      </c>
      <c r="H77" s="88" t="s">
        <v>70</v>
      </c>
      <c r="I77" s="90">
        <f>SUM(I78:I80)</f>
        <v>0</v>
      </c>
      <c r="J77" s="90">
        <f>SUM(J78:J80)</f>
        <v>0</v>
      </c>
      <c r="K77" s="90">
        <f>SUM(K78:K80)</f>
        <v>0</v>
      </c>
      <c r="L77" s="91"/>
      <c r="AI77" s="67" t="s">
        <v>234</v>
      </c>
      <c r="AS77" s="68">
        <f>SUM(AJ78:AJ80)</f>
        <v>0</v>
      </c>
      <c r="AT77" s="68">
        <f>SUM(AK78:AK80)</f>
        <v>0</v>
      </c>
      <c r="AU77" s="68">
        <f>SUM(AL78:AL80)</f>
        <v>0</v>
      </c>
    </row>
    <row r="78" spans="1:62" ht="15">
      <c r="A78" s="69" t="s">
        <v>235</v>
      </c>
      <c r="B78" s="69" t="s">
        <v>236</v>
      </c>
      <c r="C78" s="696" t="s">
        <v>237</v>
      </c>
      <c r="D78" s="693"/>
      <c r="E78" s="693"/>
      <c r="F78" s="69" t="s">
        <v>209</v>
      </c>
      <c r="G78" s="70">
        <v>4</v>
      </c>
      <c r="H78" s="580">
        <v>0</v>
      </c>
      <c r="I78" s="70">
        <f>G78*AO78</f>
        <v>0</v>
      </c>
      <c r="J78" s="70">
        <f>G78*AP78</f>
        <v>0</v>
      </c>
      <c r="K78" s="70">
        <f>G78*H78</f>
        <v>0</v>
      </c>
      <c r="L78" s="71" t="s">
        <v>120</v>
      </c>
      <c r="Z78" s="70">
        <f>IF(AQ78="5",BJ78,0)</f>
        <v>0</v>
      </c>
      <c r="AB78" s="70">
        <f>IF(AQ78="1",BH78,0)</f>
        <v>0</v>
      </c>
      <c r="AC78" s="70">
        <f>IF(AQ78="1",BI78,0)</f>
        <v>0</v>
      </c>
      <c r="AD78" s="70">
        <f>IF(AQ78="7",BH78,0)</f>
        <v>0</v>
      </c>
      <c r="AE78" s="70">
        <f>IF(AQ78="7",BI78,0)</f>
        <v>0</v>
      </c>
      <c r="AF78" s="70">
        <f>IF(AQ78="2",BH78,0)</f>
        <v>0</v>
      </c>
      <c r="AG78" s="70">
        <f>IF(AQ78="2",BI78,0)</f>
        <v>0</v>
      </c>
      <c r="AH78" s="70">
        <f>IF(AQ78="0",BJ78,0)</f>
        <v>0</v>
      </c>
      <c r="AI78" s="67" t="s">
        <v>234</v>
      </c>
      <c r="AJ78" s="70">
        <f>IF(AN78=0,K78,0)</f>
        <v>0</v>
      </c>
      <c r="AK78" s="70">
        <f>IF(AN78=15,K78,0)</f>
        <v>0</v>
      </c>
      <c r="AL78" s="70">
        <f>IF(AN78=21,K78,0)</f>
        <v>0</v>
      </c>
      <c r="AN78" s="70">
        <v>21</v>
      </c>
      <c r="AO78" s="70">
        <f>H78*0</f>
        <v>0</v>
      </c>
      <c r="AP78" s="70">
        <f>H78*(1-0)</f>
        <v>0</v>
      </c>
      <c r="AQ78" s="71" t="s">
        <v>114</v>
      </c>
      <c r="AV78" s="70">
        <f>AW78+AX78</f>
        <v>0</v>
      </c>
      <c r="AW78" s="70">
        <f>G78*AO78</f>
        <v>0</v>
      </c>
      <c r="AX78" s="70">
        <f>G78*AP78</f>
        <v>0</v>
      </c>
      <c r="AY78" s="71" t="s">
        <v>111</v>
      </c>
      <c r="AZ78" s="71" t="s">
        <v>238</v>
      </c>
      <c r="BA78" s="67" t="s">
        <v>239</v>
      </c>
      <c r="BC78" s="70">
        <f>AW78+AX78</f>
        <v>0</v>
      </c>
      <c r="BD78" s="70">
        <f>H78/(100-BE78)*100</f>
        <v>0</v>
      </c>
      <c r="BE78" s="70">
        <v>0</v>
      </c>
      <c r="BF78" s="70">
        <f>78</f>
        <v>78</v>
      </c>
      <c r="BH78" s="70">
        <f>G78*AO78</f>
        <v>0</v>
      </c>
      <c r="BI78" s="70">
        <f>G78*AP78</f>
        <v>0</v>
      </c>
      <c r="BJ78" s="70">
        <f>G78*H78</f>
        <v>0</v>
      </c>
    </row>
    <row r="79" spans="1:62" ht="15">
      <c r="A79" s="76" t="s">
        <v>240</v>
      </c>
      <c r="B79" s="76" t="s">
        <v>241</v>
      </c>
      <c r="C79" s="729" t="s">
        <v>242</v>
      </c>
      <c r="D79" s="693"/>
      <c r="E79" s="730"/>
      <c r="F79" s="76" t="s">
        <v>209</v>
      </c>
      <c r="G79" s="77">
        <v>6</v>
      </c>
      <c r="H79" s="582">
        <v>0</v>
      </c>
      <c r="I79" s="77">
        <f>G79*AO79</f>
        <v>0</v>
      </c>
      <c r="J79" s="77">
        <f>G79*AP79</f>
        <v>0</v>
      </c>
      <c r="K79" s="77">
        <f>G79*H79</f>
        <v>0</v>
      </c>
      <c r="L79" s="78" t="s">
        <v>120</v>
      </c>
      <c r="Z79" s="70">
        <f>IF(AQ79="5",BJ79,0)</f>
        <v>0</v>
      </c>
      <c r="AB79" s="70">
        <f>IF(AQ79="1",BH79,0)</f>
        <v>0</v>
      </c>
      <c r="AC79" s="70">
        <f>IF(AQ79="1",BI79,0)</f>
        <v>0</v>
      </c>
      <c r="AD79" s="70">
        <f>IF(AQ79="7",BH79,0)</f>
        <v>0</v>
      </c>
      <c r="AE79" s="70">
        <f>IF(AQ79="7",BI79,0)</f>
        <v>0</v>
      </c>
      <c r="AF79" s="70">
        <f>IF(AQ79="2",BH79,0)</f>
        <v>0</v>
      </c>
      <c r="AG79" s="70">
        <f>IF(AQ79="2",BI79,0)</f>
        <v>0</v>
      </c>
      <c r="AH79" s="70">
        <f>IF(AQ79="0",BJ79,0)</f>
        <v>0</v>
      </c>
      <c r="AI79" s="67" t="s">
        <v>234</v>
      </c>
      <c r="AJ79" s="70">
        <f>IF(AN79=0,K79,0)</f>
        <v>0</v>
      </c>
      <c r="AK79" s="70">
        <f>IF(AN79=15,K79,0)</f>
        <v>0</v>
      </c>
      <c r="AL79" s="70">
        <f>IF(AN79=21,K79,0)</f>
        <v>0</v>
      </c>
      <c r="AN79" s="70">
        <v>21</v>
      </c>
      <c r="AO79" s="70">
        <f>H79*0</f>
        <v>0</v>
      </c>
      <c r="AP79" s="70">
        <f>H79*(1-0)</f>
        <v>0</v>
      </c>
      <c r="AQ79" s="71" t="s">
        <v>106</v>
      </c>
      <c r="AV79" s="70">
        <f>AW79+AX79</f>
        <v>0</v>
      </c>
      <c r="AW79" s="70">
        <f>G79*AO79</f>
        <v>0</v>
      </c>
      <c r="AX79" s="70">
        <f>G79*AP79</f>
        <v>0</v>
      </c>
      <c r="AY79" s="71" t="s">
        <v>111</v>
      </c>
      <c r="AZ79" s="71" t="s">
        <v>238</v>
      </c>
      <c r="BA79" s="67" t="s">
        <v>239</v>
      </c>
      <c r="BC79" s="70">
        <f>AW79+AX79</f>
        <v>0</v>
      </c>
      <c r="BD79" s="70">
        <f>H79/(100-BE79)*100</f>
        <v>0</v>
      </c>
      <c r="BE79" s="70">
        <v>0</v>
      </c>
      <c r="BF79" s="70">
        <f>79</f>
        <v>79</v>
      </c>
      <c r="BH79" s="70">
        <f>G79*AO79</f>
        <v>0</v>
      </c>
      <c r="BI79" s="70">
        <f>G79*AP79</f>
        <v>0</v>
      </c>
      <c r="BJ79" s="70">
        <f>G79*H79</f>
        <v>0</v>
      </c>
    </row>
    <row r="80" spans="1:62" ht="15">
      <c r="A80" s="72" t="s">
        <v>243</v>
      </c>
      <c r="B80" s="72" t="s">
        <v>213</v>
      </c>
      <c r="C80" s="712" t="s">
        <v>244</v>
      </c>
      <c r="D80" s="693"/>
      <c r="E80" s="713"/>
      <c r="F80" s="72" t="s">
        <v>109</v>
      </c>
      <c r="G80" s="73">
        <v>1.5</v>
      </c>
      <c r="H80" s="581">
        <v>0</v>
      </c>
      <c r="I80" s="73">
        <f>G80*AO80</f>
        <v>0</v>
      </c>
      <c r="J80" s="73">
        <f>G80*AP80</f>
        <v>0</v>
      </c>
      <c r="K80" s="73">
        <f>G80*H80</f>
        <v>0</v>
      </c>
      <c r="L80" s="74" t="s">
        <v>120</v>
      </c>
      <c r="Z80" s="70">
        <f>IF(AQ80="5",BJ80,0)</f>
        <v>0</v>
      </c>
      <c r="AB80" s="70">
        <f>IF(AQ80="1",BH80,0)</f>
        <v>0</v>
      </c>
      <c r="AC80" s="70">
        <f>IF(AQ80="1",BI80,0)</f>
        <v>0</v>
      </c>
      <c r="AD80" s="70">
        <f>IF(AQ80="7",BH80,0)</f>
        <v>0</v>
      </c>
      <c r="AE80" s="70">
        <f>IF(AQ80="7",BI80,0)</f>
        <v>0</v>
      </c>
      <c r="AF80" s="70">
        <f>IF(AQ80="2",BH80,0)</f>
        <v>0</v>
      </c>
      <c r="AG80" s="70">
        <f>IF(AQ80="2",BI80,0)</f>
        <v>0</v>
      </c>
      <c r="AH80" s="70">
        <f>IF(AQ80="0",BJ80,0)</f>
        <v>0</v>
      </c>
      <c r="AI80" s="67" t="s">
        <v>234</v>
      </c>
      <c r="AJ80" s="70">
        <f>IF(AN80=0,K80,0)</f>
        <v>0</v>
      </c>
      <c r="AK80" s="70">
        <f>IF(AN80=15,K80,0)</f>
        <v>0</v>
      </c>
      <c r="AL80" s="70">
        <f>IF(AN80=21,K80,0)</f>
        <v>0</v>
      </c>
      <c r="AN80" s="70">
        <v>21</v>
      </c>
      <c r="AO80" s="70">
        <f>H80*0</f>
        <v>0</v>
      </c>
      <c r="AP80" s="70">
        <f>H80*(1-0)</f>
        <v>0</v>
      </c>
      <c r="AQ80" s="71" t="s">
        <v>106</v>
      </c>
      <c r="AV80" s="70">
        <f>AW80+AX80</f>
        <v>0</v>
      </c>
      <c r="AW80" s="70">
        <f>G80*AO80</f>
        <v>0</v>
      </c>
      <c r="AX80" s="70">
        <f>G80*AP80</f>
        <v>0</v>
      </c>
      <c r="AY80" s="71" t="s">
        <v>111</v>
      </c>
      <c r="AZ80" s="71" t="s">
        <v>238</v>
      </c>
      <c r="BA80" s="67" t="s">
        <v>239</v>
      </c>
      <c r="BC80" s="70">
        <f>AW80+AX80</f>
        <v>0</v>
      </c>
      <c r="BD80" s="70">
        <f>H80/(100-BE80)*100</f>
        <v>0</v>
      </c>
      <c r="BE80" s="70">
        <v>0</v>
      </c>
      <c r="BF80" s="70">
        <f>80</f>
        <v>80</v>
      </c>
      <c r="BH80" s="70">
        <f>G80*AO80</f>
        <v>0</v>
      </c>
      <c r="BI80" s="70">
        <f>G80*AP80</f>
        <v>0</v>
      </c>
      <c r="BJ80" s="70">
        <f>G80*H80</f>
        <v>0</v>
      </c>
    </row>
    <row r="81" spans="1:47" ht="15">
      <c r="A81" s="88"/>
      <c r="B81" s="89" t="s">
        <v>127</v>
      </c>
      <c r="C81" s="710" t="s">
        <v>128</v>
      </c>
      <c r="D81" s="711"/>
      <c r="E81" s="711"/>
      <c r="F81" s="88" t="s">
        <v>70</v>
      </c>
      <c r="G81" s="88" t="s">
        <v>70</v>
      </c>
      <c r="H81" s="88" t="s">
        <v>70</v>
      </c>
      <c r="I81" s="90">
        <f>SUM(I82:I84)</f>
        <v>0</v>
      </c>
      <c r="J81" s="90">
        <f>SUM(J82:J84)</f>
        <v>0</v>
      </c>
      <c r="K81" s="90">
        <f>SUM(K82:K84)</f>
        <v>0</v>
      </c>
      <c r="L81" s="91"/>
      <c r="AI81" s="67" t="s">
        <v>234</v>
      </c>
      <c r="AS81" s="68">
        <f>SUM(AJ82:AJ84)</f>
        <v>0</v>
      </c>
      <c r="AT81" s="68">
        <f>SUM(AK82:AK84)</f>
        <v>0</v>
      </c>
      <c r="AU81" s="68">
        <f>SUM(AL82:AL84)</f>
        <v>0</v>
      </c>
    </row>
    <row r="82" spans="1:62" ht="15">
      <c r="A82" s="69" t="s">
        <v>245</v>
      </c>
      <c r="B82" s="69" t="s">
        <v>130</v>
      </c>
      <c r="C82" s="696" t="s">
        <v>131</v>
      </c>
      <c r="D82" s="693"/>
      <c r="E82" s="693"/>
      <c r="F82" s="69" t="s">
        <v>132</v>
      </c>
      <c r="G82" s="70">
        <v>1.4</v>
      </c>
      <c r="H82" s="580">
        <v>0</v>
      </c>
      <c r="I82" s="70">
        <f>G82*AO82</f>
        <v>0</v>
      </c>
      <c r="J82" s="70">
        <f>G82*AP82</f>
        <v>0</v>
      </c>
      <c r="K82" s="70">
        <f>G82*H82</f>
        <v>0</v>
      </c>
      <c r="L82" s="71" t="s">
        <v>110</v>
      </c>
      <c r="Z82" s="70">
        <f>IF(AQ82="5",BJ82,0)</f>
        <v>0</v>
      </c>
      <c r="AB82" s="70">
        <f>IF(AQ82="1",BH82,0)</f>
        <v>0</v>
      </c>
      <c r="AC82" s="70">
        <f>IF(AQ82="1",BI82,0)</f>
        <v>0</v>
      </c>
      <c r="AD82" s="70">
        <f>IF(AQ82="7",BH82,0)</f>
        <v>0</v>
      </c>
      <c r="AE82" s="70">
        <f>IF(AQ82="7",BI82,0)</f>
        <v>0</v>
      </c>
      <c r="AF82" s="70">
        <f>IF(AQ82="2",BH82,0)</f>
        <v>0</v>
      </c>
      <c r="AG82" s="70">
        <f>IF(AQ82="2",BI82,0)</f>
        <v>0</v>
      </c>
      <c r="AH82" s="70">
        <f>IF(AQ82="0",BJ82,0)</f>
        <v>0</v>
      </c>
      <c r="AI82" s="67" t="s">
        <v>234</v>
      </c>
      <c r="AJ82" s="70">
        <f>IF(AN82=0,K82,0)</f>
        <v>0</v>
      </c>
      <c r="AK82" s="70">
        <f>IF(AN82=15,K82,0)</f>
        <v>0</v>
      </c>
      <c r="AL82" s="70">
        <f>IF(AN82=21,K82,0)</f>
        <v>0</v>
      </c>
      <c r="AN82" s="70">
        <v>21</v>
      </c>
      <c r="AO82" s="70">
        <f>H82*0.0106885245901639</f>
        <v>0</v>
      </c>
      <c r="AP82" s="70">
        <f>H82*(1-0.0106885245901639)</f>
        <v>0</v>
      </c>
      <c r="AQ82" s="71" t="s">
        <v>124</v>
      </c>
      <c r="AV82" s="70">
        <f>AW82+AX82</f>
        <v>0</v>
      </c>
      <c r="AW82" s="70">
        <f>G82*AO82</f>
        <v>0</v>
      </c>
      <c r="AX82" s="70">
        <f>G82*AP82</f>
        <v>0</v>
      </c>
      <c r="AY82" s="71" t="s">
        <v>133</v>
      </c>
      <c r="AZ82" s="71" t="s">
        <v>246</v>
      </c>
      <c r="BA82" s="67" t="s">
        <v>239</v>
      </c>
      <c r="BC82" s="70">
        <f>AW82+AX82</f>
        <v>0</v>
      </c>
      <c r="BD82" s="70">
        <f>H82/(100-BE82)*100</f>
        <v>0</v>
      </c>
      <c r="BE82" s="70">
        <v>0</v>
      </c>
      <c r="BF82" s="70">
        <f>82</f>
        <v>82</v>
      </c>
      <c r="BH82" s="70">
        <f>G82*AO82</f>
        <v>0</v>
      </c>
      <c r="BI82" s="70">
        <f>G82*AP82</f>
        <v>0</v>
      </c>
      <c r="BJ82" s="70">
        <f>G82*H82</f>
        <v>0</v>
      </c>
    </row>
    <row r="83" spans="2:12" ht="12.75" customHeight="1">
      <c r="B83" s="75" t="s">
        <v>67</v>
      </c>
      <c r="C83" s="725" t="s">
        <v>247</v>
      </c>
      <c r="D83" s="726"/>
      <c r="E83" s="726"/>
      <c r="F83" s="726"/>
      <c r="G83" s="726"/>
      <c r="H83" s="726"/>
      <c r="I83" s="726"/>
      <c r="J83" s="726"/>
      <c r="K83" s="726"/>
      <c r="L83" s="726"/>
    </row>
    <row r="84" spans="1:62" ht="15">
      <c r="A84" s="69" t="s">
        <v>248</v>
      </c>
      <c r="B84" s="69" t="s">
        <v>137</v>
      </c>
      <c r="C84" s="696" t="s">
        <v>138</v>
      </c>
      <c r="D84" s="693"/>
      <c r="E84" s="693"/>
      <c r="F84" s="69" t="s">
        <v>132</v>
      </c>
      <c r="G84" s="70">
        <v>1.4</v>
      </c>
      <c r="H84" s="580">
        <v>0</v>
      </c>
      <c r="I84" s="70">
        <f>G84*AO84</f>
        <v>0</v>
      </c>
      <c r="J84" s="70">
        <f>G84*AP84</f>
        <v>0</v>
      </c>
      <c r="K84" s="70">
        <f>G84*H84</f>
        <v>0</v>
      </c>
      <c r="L84" s="71" t="s">
        <v>110</v>
      </c>
      <c r="Z84" s="70">
        <f>IF(AQ84="5",BJ84,0)</f>
        <v>0</v>
      </c>
      <c r="AB84" s="70">
        <f>IF(AQ84="1",BH84,0)</f>
        <v>0</v>
      </c>
      <c r="AC84" s="70">
        <f>IF(AQ84="1",BI84,0)</f>
        <v>0</v>
      </c>
      <c r="AD84" s="70">
        <f>IF(AQ84="7",BH84,0)</f>
        <v>0</v>
      </c>
      <c r="AE84" s="70">
        <f>IF(AQ84="7",BI84,0)</f>
        <v>0</v>
      </c>
      <c r="AF84" s="70">
        <f>IF(AQ84="2",BH84,0)</f>
        <v>0</v>
      </c>
      <c r="AG84" s="70">
        <f>IF(AQ84="2",BI84,0)</f>
        <v>0</v>
      </c>
      <c r="AH84" s="70">
        <f>IF(AQ84="0",BJ84,0)</f>
        <v>0</v>
      </c>
      <c r="AI84" s="67" t="s">
        <v>234</v>
      </c>
      <c r="AJ84" s="70">
        <f>IF(AN84=0,K84,0)</f>
        <v>0</v>
      </c>
      <c r="AK84" s="70">
        <f>IF(AN84=15,K84,0)</f>
        <v>0</v>
      </c>
      <c r="AL84" s="70">
        <f>IF(AN84=21,K84,0)</f>
        <v>0</v>
      </c>
      <c r="AN84" s="70">
        <v>21</v>
      </c>
      <c r="AO84" s="70">
        <f>H84*0</f>
        <v>0</v>
      </c>
      <c r="AP84" s="70">
        <f>H84*(1-0)</f>
        <v>0</v>
      </c>
      <c r="AQ84" s="71" t="s">
        <v>124</v>
      </c>
      <c r="AV84" s="70">
        <f>AW84+AX84</f>
        <v>0</v>
      </c>
      <c r="AW84" s="70">
        <f>G84*AO84</f>
        <v>0</v>
      </c>
      <c r="AX84" s="70">
        <f>G84*AP84</f>
        <v>0</v>
      </c>
      <c r="AY84" s="71" t="s">
        <v>133</v>
      </c>
      <c r="AZ84" s="71" t="s">
        <v>246</v>
      </c>
      <c r="BA84" s="67" t="s">
        <v>239</v>
      </c>
      <c r="BC84" s="70">
        <f>AW84+AX84</f>
        <v>0</v>
      </c>
      <c r="BD84" s="70">
        <f>H84/(100-BE84)*100</f>
        <v>0</v>
      </c>
      <c r="BE84" s="70">
        <v>0</v>
      </c>
      <c r="BF84" s="70">
        <f>84</f>
        <v>84</v>
      </c>
      <c r="BH84" s="70">
        <f>G84*AO84</f>
        <v>0</v>
      </c>
      <c r="BI84" s="70">
        <f>G84*AP84</f>
        <v>0</v>
      </c>
      <c r="BJ84" s="70">
        <f>G84*H84</f>
        <v>0</v>
      </c>
    </row>
    <row r="85" spans="1:12" ht="15">
      <c r="A85" s="48"/>
      <c r="B85" s="49"/>
      <c r="C85" s="727" t="s">
        <v>249</v>
      </c>
      <c r="D85" s="728"/>
      <c r="E85" s="728"/>
      <c r="F85" s="48" t="s">
        <v>70</v>
      </c>
      <c r="G85" s="48" t="s">
        <v>70</v>
      </c>
      <c r="H85" s="48" t="s">
        <v>70</v>
      </c>
      <c r="I85" s="50">
        <f>I86+I89</f>
        <v>0</v>
      </c>
      <c r="J85" s="50">
        <f>J86+J89</f>
        <v>0</v>
      </c>
      <c r="K85" s="50">
        <f>K86+K89</f>
        <v>0</v>
      </c>
      <c r="L85" s="51"/>
    </row>
    <row r="86" spans="1:47" ht="15">
      <c r="A86" s="88"/>
      <c r="B86" s="89" t="s">
        <v>103</v>
      </c>
      <c r="C86" s="710" t="s">
        <v>104</v>
      </c>
      <c r="D86" s="711"/>
      <c r="E86" s="711"/>
      <c r="F86" s="88" t="s">
        <v>70</v>
      </c>
      <c r="G86" s="88" t="s">
        <v>70</v>
      </c>
      <c r="H86" s="88" t="s">
        <v>70</v>
      </c>
      <c r="I86" s="90">
        <f>SUM(I87:I88)</f>
        <v>0</v>
      </c>
      <c r="J86" s="90">
        <f>SUM(J87:J88)</f>
        <v>0</v>
      </c>
      <c r="K86" s="90">
        <f>SUM(K87:K88)</f>
        <v>0</v>
      </c>
      <c r="L86" s="91"/>
      <c r="AI86" s="67" t="s">
        <v>103</v>
      </c>
      <c r="AS86" s="68">
        <f>SUM(AJ87:AJ88)</f>
        <v>0</v>
      </c>
      <c r="AT86" s="68">
        <f>SUM(AK87:AK88)</f>
        <v>0</v>
      </c>
      <c r="AU86" s="68">
        <f>SUM(AL87:AL88)</f>
        <v>0</v>
      </c>
    </row>
    <row r="87" spans="1:62" ht="15">
      <c r="A87" s="69" t="s">
        <v>250</v>
      </c>
      <c r="B87" s="69" t="s">
        <v>251</v>
      </c>
      <c r="C87" s="696" t="s">
        <v>252</v>
      </c>
      <c r="D87" s="693"/>
      <c r="E87" s="693"/>
      <c r="F87" s="69" t="s">
        <v>253</v>
      </c>
      <c r="G87" s="70">
        <v>2.3</v>
      </c>
      <c r="H87" s="580">
        <v>0</v>
      </c>
      <c r="I87" s="70">
        <f>G87*AO87</f>
        <v>0</v>
      </c>
      <c r="J87" s="70">
        <f>G87*AP87</f>
        <v>0</v>
      </c>
      <c r="K87" s="70">
        <f>G87*H87</f>
        <v>0</v>
      </c>
      <c r="L87" s="71" t="s">
        <v>120</v>
      </c>
      <c r="Z87" s="70">
        <f>IF(AQ87="5",BJ87,0)</f>
        <v>0</v>
      </c>
      <c r="AB87" s="70">
        <f>IF(AQ87="1",BH87,0)</f>
        <v>0</v>
      </c>
      <c r="AC87" s="70">
        <f>IF(AQ87="1",BI87,0)</f>
        <v>0</v>
      </c>
      <c r="AD87" s="70">
        <f>IF(AQ87="7",BH87,0)</f>
        <v>0</v>
      </c>
      <c r="AE87" s="70">
        <f>IF(AQ87="7",BI87,0)</f>
        <v>0</v>
      </c>
      <c r="AF87" s="70">
        <f>IF(AQ87="2",BH87,0)</f>
        <v>0</v>
      </c>
      <c r="AG87" s="70">
        <f>IF(AQ87="2",BI87,0)</f>
        <v>0</v>
      </c>
      <c r="AH87" s="70">
        <f>IF(AQ87="0",BJ87,0)</f>
        <v>0</v>
      </c>
      <c r="AI87" s="67" t="s">
        <v>103</v>
      </c>
      <c r="AJ87" s="70">
        <f>IF(AN87=0,K87,0)</f>
        <v>0</v>
      </c>
      <c r="AK87" s="70">
        <f>IF(AN87=15,K87,0)</f>
        <v>0</v>
      </c>
      <c r="AL87" s="70">
        <f>IF(AN87=21,K87,0)</f>
        <v>0</v>
      </c>
      <c r="AN87" s="70">
        <v>21</v>
      </c>
      <c r="AO87" s="70">
        <f>H87*0</f>
        <v>0</v>
      </c>
      <c r="AP87" s="70">
        <f>H87*(1-0)</f>
        <v>0</v>
      </c>
      <c r="AQ87" s="71" t="s">
        <v>106</v>
      </c>
      <c r="AV87" s="70">
        <f>AW87+AX87</f>
        <v>0</v>
      </c>
      <c r="AW87" s="70">
        <f>G87*AO87</f>
        <v>0</v>
      </c>
      <c r="AX87" s="70">
        <f>G87*AP87</f>
        <v>0</v>
      </c>
      <c r="AY87" s="71" t="s">
        <v>111</v>
      </c>
      <c r="AZ87" s="71" t="s">
        <v>254</v>
      </c>
      <c r="BA87" s="67" t="s">
        <v>111</v>
      </c>
      <c r="BC87" s="70">
        <f>AW87+AX87</f>
        <v>0</v>
      </c>
      <c r="BD87" s="70">
        <f>H87/(100-BE87)*100</f>
        <v>0</v>
      </c>
      <c r="BE87" s="70">
        <v>0</v>
      </c>
      <c r="BF87" s="70">
        <f>87</f>
        <v>87</v>
      </c>
      <c r="BH87" s="70">
        <f>G87*AO87</f>
        <v>0</v>
      </c>
      <c r="BI87" s="70">
        <f>G87*AP87</f>
        <v>0</v>
      </c>
      <c r="BJ87" s="70">
        <f>G87*H87</f>
        <v>0</v>
      </c>
    </row>
    <row r="88" spans="1:62" ht="15">
      <c r="A88" s="69" t="s">
        <v>255</v>
      </c>
      <c r="B88" s="69" t="s">
        <v>256</v>
      </c>
      <c r="C88" s="696" t="s">
        <v>257</v>
      </c>
      <c r="D88" s="693"/>
      <c r="E88" s="693"/>
      <c r="F88" s="69" t="s">
        <v>109</v>
      </c>
      <c r="G88" s="70">
        <v>3</v>
      </c>
      <c r="H88" s="580">
        <v>0</v>
      </c>
      <c r="I88" s="70">
        <f>G88*AO88</f>
        <v>0</v>
      </c>
      <c r="J88" s="70">
        <f>G88*AP88</f>
        <v>0</v>
      </c>
      <c r="K88" s="70">
        <f>G88*H88</f>
        <v>0</v>
      </c>
      <c r="L88" s="71" t="s">
        <v>120</v>
      </c>
      <c r="Z88" s="70">
        <f>IF(AQ88="5",BJ88,0)</f>
        <v>0</v>
      </c>
      <c r="AB88" s="70">
        <f>IF(AQ88="1",BH88,0)</f>
        <v>0</v>
      </c>
      <c r="AC88" s="70">
        <f>IF(AQ88="1",BI88,0)</f>
        <v>0</v>
      </c>
      <c r="AD88" s="70">
        <f>IF(AQ88="7",BH88,0)</f>
        <v>0</v>
      </c>
      <c r="AE88" s="70">
        <f>IF(AQ88="7",BI88,0)</f>
        <v>0</v>
      </c>
      <c r="AF88" s="70">
        <f>IF(AQ88="2",BH88,0)</f>
        <v>0</v>
      </c>
      <c r="AG88" s="70">
        <f>IF(AQ88="2",BI88,0)</f>
        <v>0</v>
      </c>
      <c r="AH88" s="70">
        <f>IF(AQ88="0",BJ88,0)</f>
        <v>0</v>
      </c>
      <c r="AI88" s="67" t="s">
        <v>103</v>
      </c>
      <c r="AJ88" s="70">
        <f>IF(AN88=0,K88,0)</f>
        <v>0</v>
      </c>
      <c r="AK88" s="70">
        <f>IF(AN88=15,K88,0)</f>
        <v>0</v>
      </c>
      <c r="AL88" s="70">
        <f>IF(AN88=21,K88,0)</f>
        <v>0</v>
      </c>
      <c r="AN88" s="70">
        <v>21</v>
      </c>
      <c r="AO88" s="70">
        <f>H88*0</f>
        <v>0</v>
      </c>
      <c r="AP88" s="70">
        <f>H88*(1-0)</f>
        <v>0</v>
      </c>
      <c r="AQ88" s="71" t="s">
        <v>106</v>
      </c>
      <c r="AV88" s="70">
        <f>AW88+AX88</f>
        <v>0</v>
      </c>
      <c r="AW88" s="70">
        <f>G88*AO88</f>
        <v>0</v>
      </c>
      <c r="AX88" s="70">
        <f>G88*AP88</f>
        <v>0</v>
      </c>
      <c r="AY88" s="71" t="s">
        <v>111</v>
      </c>
      <c r="AZ88" s="71" t="s">
        <v>254</v>
      </c>
      <c r="BA88" s="67" t="s">
        <v>111</v>
      </c>
      <c r="BC88" s="70">
        <f>AW88+AX88</f>
        <v>0</v>
      </c>
      <c r="BD88" s="70">
        <f>H88/(100-BE88)*100</f>
        <v>0</v>
      </c>
      <c r="BE88" s="70">
        <v>0</v>
      </c>
      <c r="BF88" s="70">
        <f>88</f>
        <v>88</v>
      </c>
      <c r="BH88" s="70">
        <f>G88*AO88</f>
        <v>0</v>
      </c>
      <c r="BI88" s="70">
        <f>G88*AP88</f>
        <v>0</v>
      </c>
      <c r="BJ88" s="70">
        <f>G88*H88</f>
        <v>0</v>
      </c>
    </row>
    <row r="89" spans="1:47" ht="15">
      <c r="A89" s="88"/>
      <c r="B89" s="89" t="s">
        <v>127</v>
      </c>
      <c r="C89" s="710" t="s">
        <v>128</v>
      </c>
      <c r="D89" s="711"/>
      <c r="E89" s="711"/>
      <c r="F89" s="88" t="s">
        <v>70</v>
      </c>
      <c r="G89" s="88" t="s">
        <v>70</v>
      </c>
      <c r="H89" s="88" t="s">
        <v>70</v>
      </c>
      <c r="I89" s="90">
        <f>SUM(I90:I92)</f>
        <v>0</v>
      </c>
      <c r="J89" s="90">
        <f>SUM(J90:J92)</f>
        <v>0</v>
      </c>
      <c r="K89" s="90">
        <f>SUM(K90:K92)</f>
        <v>0</v>
      </c>
      <c r="L89" s="91"/>
      <c r="AI89" s="67" t="s">
        <v>103</v>
      </c>
      <c r="AS89" s="68">
        <f>SUM(AJ90:AJ92)</f>
        <v>0</v>
      </c>
      <c r="AT89" s="68">
        <f>SUM(AK90:AK92)</f>
        <v>0</v>
      </c>
      <c r="AU89" s="68">
        <f>SUM(AL90:AL92)</f>
        <v>0</v>
      </c>
    </row>
    <row r="90" spans="1:62" ht="15">
      <c r="A90" s="69" t="s">
        <v>258</v>
      </c>
      <c r="B90" s="69" t="s">
        <v>130</v>
      </c>
      <c r="C90" s="696" t="s">
        <v>131</v>
      </c>
      <c r="D90" s="693"/>
      <c r="E90" s="693"/>
      <c r="F90" s="69" t="s">
        <v>132</v>
      </c>
      <c r="G90" s="70">
        <v>7.2</v>
      </c>
      <c r="H90" s="580">
        <v>0</v>
      </c>
      <c r="I90" s="70">
        <f>G90*AO90</f>
        <v>0</v>
      </c>
      <c r="J90" s="70">
        <f>G90*AP90</f>
        <v>0</v>
      </c>
      <c r="K90" s="70">
        <f>G90*H90</f>
        <v>0</v>
      </c>
      <c r="L90" s="71" t="s">
        <v>110</v>
      </c>
      <c r="Z90" s="70">
        <f>IF(AQ90="5",BJ90,0)</f>
        <v>0</v>
      </c>
      <c r="AB90" s="70">
        <f>IF(AQ90="1",BH90,0)</f>
        <v>0</v>
      </c>
      <c r="AC90" s="70">
        <f>IF(AQ90="1",BI90,0)</f>
        <v>0</v>
      </c>
      <c r="AD90" s="70">
        <f>IF(AQ90="7",BH90,0)</f>
        <v>0</v>
      </c>
      <c r="AE90" s="70">
        <f>IF(AQ90="7",BI90,0)</f>
        <v>0</v>
      </c>
      <c r="AF90" s="70">
        <f>IF(AQ90="2",BH90,0)</f>
        <v>0</v>
      </c>
      <c r="AG90" s="70">
        <f>IF(AQ90="2",BI90,0)</f>
        <v>0</v>
      </c>
      <c r="AH90" s="70">
        <f>IF(AQ90="0",BJ90,0)</f>
        <v>0</v>
      </c>
      <c r="AI90" s="67" t="s">
        <v>103</v>
      </c>
      <c r="AJ90" s="70">
        <f>IF(AN90=0,K90,0)</f>
        <v>0</v>
      </c>
      <c r="AK90" s="70">
        <f>IF(AN90=15,K90,0)</f>
        <v>0</v>
      </c>
      <c r="AL90" s="70">
        <f>IF(AN90=21,K90,0)</f>
        <v>0</v>
      </c>
      <c r="AN90" s="70">
        <v>21</v>
      </c>
      <c r="AO90" s="70">
        <f>H90*0.0106885245901639</f>
        <v>0</v>
      </c>
      <c r="AP90" s="70">
        <f>H90*(1-0.0106885245901639)</f>
        <v>0</v>
      </c>
      <c r="AQ90" s="71" t="s">
        <v>124</v>
      </c>
      <c r="AV90" s="70">
        <f>AW90+AX90</f>
        <v>0</v>
      </c>
      <c r="AW90" s="70">
        <f>G90*AO90</f>
        <v>0</v>
      </c>
      <c r="AX90" s="70">
        <f>G90*AP90</f>
        <v>0</v>
      </c>
      <c r="AY90" s="71" t="s">
        <v>133</v>
      </c>
      <c r="AZ90" s="71" t="s">
        <v>259</v>
      </c>
      <c r="BA90" s="67" t="s">
        <v>111</v>
      </c>
      <c r="BC90" s="70">
        <f>AW90+AX90</f>
        <v>0</v>
      </c>
      <c r="BD90" s="70">
        <f>H90/(100-BE90)*100</f>
        <v>0</v>
      </c>
      <c r="BE90" s="70">
        <v>0</v>
      </c>
      <c r="BF90" s="70">
        <f>90</f>
        <v>90</v>
      </c>
      <c r="BH90" s="70">
        <f>G90*AO90</f>
        <v>0</v>
      </c>
      <c r="BI90" s="70">
        <f>G90*AP90</f>
        <v>0</v>
      </c>
      <c r="BJ90" s="70">
        <f>G90*H90</f>
        <v>0</v>
      </c>
    </row>
    <row r="91" spans="2:12" ht="12.75" customHeight="1">
      <c r="B91" s="75" t="s">
        <v>67</v>
      </c>
      <c r="C91" s="725" t="s">
        <v>260</v>
      </c>
      <c r="D91" s="726"/>
      <c r="E91" s="726"/>
      <c r="F91" s="726"/>
      <c r="G91" s="726"/>
      <c r="H91" s="726"/>
      <c r="I91" s="726"/>
      <c r="J91" s="726"/>
      <c r="K91" s="726"/>
      <c r="L91" s="726"/>
    </row>
    <row r="92" spans="1:62" ht="15">
      <c r="A92" s="69" t="s">
        <v>261</v>
      </c>
      <c r="B92" s="69" t="s">
        <v>137</v>
      </c>
      <c r="C92" s="696" t="s">
        <v>138</v>
      </c>
      <c r="D92" s="693"/>
      <c r="E92" s="693"/>
      <c r="F92" s="69" t="s">
        <v>132</v>
      </c>
      <c r="G92" s="70">
        <v>7.2</v>
      </c>
      <c r="H92" s="580">
        <v>0</v>
      </c>
      <c r="I92" s="70">
        <f>G92*AO92</f>
        <v>0</v>
      </c>
      <c r="J92" s="70">
        <f>G92*AP92</f>
        <v>0</v>
      </c>
      <c r="K92" s="70">
        <f>G92*H92</f>
        <v>0</v>
      </c>
      <c r="L92" s="71" t="s">
        <v>110</v>
      </c>
      <c r="Z92" s="70">
        <f>IF(AQ92="5",BJ92,0)</f>
        <v>0</v>
      </c>
      <c r="AB92" s="70">
        <f>IF(AQ92="1",BH92,0)</f>
        <v>0</v>
      </c>
      <c r="AC92" s="70">
        <f>IF(AQ92="1",BI92,0)</f>
        <v>0</v>
      </c>
      <c r="AD92" s="70">
        <f>IF(AQ92="7",BH92,0)</f>
        <v>0</v>
      </c>
      <c r="AE92" s="70">
        <f>IF(AQ92="7",BI92,0)</f>
        <v>0</v>
      </c>
      <c r="AF92" s="70">
        <f>IF(AQ92="2",BH92,0)</f>
        <v>0</v>
      </c>
      <c r="AG92" s="70">
        <f>IF(AQ92="2",BI92,0)</f>
        <v>0</v>
      </c>
      <c r="AH92" s="70">
        <f>IF(AQ92="0",BJ92,0)</f>
        <v>0</v>
      </c>
      <c r="AI92" s="67" t="s">
        <v>103</v>
      </c>
      <c r="AJ92" s="70">
        <f>IF(AN92=0,K92,0)</f>
        <v>0</v>
      </c>
      <c r="AK92" s="70">
        <f>IF(AN92=15,K92,0)</f>
        <v>0</v>
      </c>
      <c r="AL92" s="70">
        <f>IF(AN92=21,K92,0)</f>
        <v>0</v>
      </c>
      <c r="AN92" s="70">
        <v>21</v>
      </c>
      <c r="AO92" s="70">
        <f>H92*0</f>
        <v>0</v>
      </c>
      <c r="AP92" s="70">
        <f>H92*(1-0)</f>
        <v>0</v>
      </c>
      <c r="AQ92" s="71" t="s">
        <v>124</v>
      </c>
      <c r="AV92" s="70">
        <f>AW92+AX92</f>
        <v>0</v>
      </c>
      <c r="AW92" s="70">
        <f>G92*AO92</f>
        <v>0</v>
      </c>
      <c r="AX92" s="70">
        <f>G92*AP92</f>
        <v>0</v>
      </c>
      <c r="AY92" s="71" t="s">
        <v>133</v>
      </c>
      <c r="AZ92" s="71" t="s">
        <v>259</v>
      </c>
      <c r="BA92" s="67" t="s">
        <v>111</v>
      </c>
      <c r="BC92" s="70">
        <f>AW92+AX92</f>
        <v>0</v>
      </c>
      <c r="BD92" s="70">
        <f>H92/(100-BE92)*100</f>
        <v>0</v>
      </c>
      <c r="BE92" s="70">
        <v>0</v>
      </c>
      <c r="BF92" s="70">
        <f>92</f>
        <v>92</v>
      </c>
      <c r="BH92" s="70">
        <f>G92*AO92</f>
        <v>0</v>
      </c>
      <c r="BI92" s="70">
        <f>G92*AP92</f>
        <v>0</v>
      </c>
      <c r="BJ92" s="70">
        <f>G92*H92</f>
        <v>0</v>
      </c>
    </row>
    <row r="93" spans="1:12" ht="15">
      <c r="A93" s="48"/>
      <c r="B93" s="49"/>
      <c r="C93" s="727" t="s">
        <v>262</v>
      </c>
      <c r="D93" s="728"/>
      <c r="E93" s="728"/>
      <c r="F93" s="48" t="s">
        <v>70</v>
      </c>
      <c r="G93" s="48" t="s">
        <v>70</v>
      </c>
      <c r="H93" s="48" t="s">
        <v>70</v>
      </c>
      <c r="I93" s="50">
        <f>I94+I98</f>
        <v>0</v>
      </c>
      <c r="J93" s="50">
        <f>J94+J98</f>
        <v>0</v>
      </c>
      <c r="K93" s="50">
        <f>K94+K98</f>
        <v>0</v>
      </c>
      <c r="L93" s="51"/>
    </row>
    <row r="94" spans="1:47" ht="15">
      <c r="A94" s="88"/>
      <c r="B94" s="89" t="s">
        <v>103</v>
      </c>
      <c r="C94" s="710" t="s">
        <v>104</v>
      </c>
      <c r="D94" s="711"/>
      <c r="E94" s="711"/>
      <c r="F94" s="88" t="s">
        <v>70</v>
      </c>
      <c r="G94" s="88" t="s">
        <v>70</v>
      </c>
      <c r="H94" s="88" t="s">
        <v>70</v>
      </c>
      <c r="I94" s="90">
        <f>SUM(I95:I97)</f>
        <v>0</v>
      </c>
      <c r="J94" s="90">
        <f>SUM(J95:J97)</f>
        <v>0</v>
      </c>
      <c r="K94" s="90">
        <f>SUM(K95:K97)</f>
        <v>0</v>
      </c>
      <c r="L94" s="91"/>
      <c r="AI94" s="67" t="s">
        <v>155</v>
      </c>
      <c r="AS94" s="68">
        <f>SUM(AJ95:AJ97)</f>
        <v>0</v>
      </c>
      <c r="AT94" s="68">
        <f>SUM(AK95:AK97)</f>
        <v>0</v>
      </c>
      <c r="AU94" s="68">
        <f>SUM(AL95:AL97)</f>
        <v>0</v>
      </c>
    </row>
    <row r="95" spans="1:62" ht="15">
      <c r="A95" s="69" t="s">
        <v>263</v>
      </c>
      <c r="B95" s="69" t="s">
        <v>264</v>
      </c>
      <c r="C95" s="696" t="s">
        <v>265</v>
      </c>
      <c r="D95" s="693"/>
      <c r="E95" s="693"/>
      <c r="F95" s="69" t="s">
        <v>253</v>
      </c>
      <c r="G95" s="70">
        <v>14.6</v>
      </c>
      <c r="H95" s="580">
        <v>0</v>
      </c>
      <c r="I95" s="70">
        <f>G95*AO95</f>
        <v>0</v>
      </c>
      <c r="J95" s="70">
        <f>G95*AP95</f>
        <v>0</v>
      </c>
      <c r="K95" s="70">
        <f>G95*H95</f>
        <v>0</v>
      </c>
      <c r="L95" s="71" t="s">
        <v>120</v>
      </c>
      <c r="Z95" s="70">
        <f>IF(AQ95="5",BJ95,0)</f>
        <v>0</v>
      </c>
      <c r="AB95" s="70">
        <f>IF(AQ95="1",BH95,0)</f>
        <v>0</v>
      </c>
      <c r="AC95" s="70">
        <f>IF(AQ95="1",BI95,0)</f>
        <v>0</v>
      </c>
      <c r="AD95" s="70">
        <f>IF(AQ95="7",BH95,0)</f>
        <v>0</v>
      </c>
      <c r="AE95" s="70">
        <f>IF(AQ95="7",BI95,0)</f>
        <v>0</v>
      </c>
      <c r="AF95" s="70">
        <f>IF(AQ95="2",BH95,0)</f>
        <v>0</v>
      </c>
      <c r="AG95" s="70">
        <f>IF(AQ95="2",BI95,0)</f>
        <v>0</v>
      </c>
      <c r="AH95" s="70">
        <f>IF(AQ95="0",BJ95,0)</f>
        <v>0</v>
      </c>
      <c r="AI95" s="67" t="s">
        <v>155</v>
      </c>
      <c r="AJ95" s="70">
        <f>IF(AN95=0,K95,0)</f>
        <v>0</v>
      </c>
      <c r="AK95" s="70">
        <f>IF(AN95=15,K95,0)</f>
        <v>0</v>
      </c>
      <c r="AL95" s="70">
        <f>IF(AN95=21,K95,0)</f>
        <v>0</v>
      </c>
      <c r="AN95" s="70">
        <v>21</v>
      </c>
      <c r="AO95" s="70">
        <f>H95*0.00635</f>
        <v>0</v>
      </c>
      <c r="AP95" s="70">
        <f>H95*(1-0.00635)</f>
        <v>0</v>
      </c>
      <c r="AQ95" s="71" t="s">
        <v>106</v>
      </c>
      <c r="AV95" s="70">
        <f>AW95+AX95</f>
        <v>0</v>
      </c>
      <c r="AW95" s="70">
        <f>G95*AO95</f>
        <v>0</v>
      </c>
      <c r="AX95" s="70">
        <f>G95*AP95</f>
        <v>0</v>
      </c>
      <c r="AY95" s="71" t="s">
        <v>111</v>
      </c>
      <c r="AZ95" s="71" t="s">
        <v>266</v>
      </c>
      <c r="BA95" s="67" t="s">
        <v>267</v>
      </c>
      <c r="BC95" s="70">
        <f>AW95+AX95</f>
        <v>0</v>
      </c>
      <c r="BD95" s="70">
        <f>H95/(100-BE95)*100</f>
        <v>0</v>
      </c>
      <c r="BE95" s="70">
        <v>0</v>
      </c>
      <c r="BF95" s="70">
        <f>95</f>
        <v>95</v>
      </c>
      <c r="BH95" s="70">
        <f>G95*AO95</f>
        <v>0</v>
      </c>
      <c r="BI95" s="70">
        <f>G95*AP95</f>
        <v>0</v>
      </c>
      <c r="BJ95" s="70">
        <f>G95*H95</f>
        <v>0</v>
      </c>
    </row>
    <row r="96" spans="1:62" ht="15">
      <c r="A96" s="69" t="s">
        <v>268</v>
      </c>
      <c r="B96" s="69" t="s">
        <v>269</v>
      </c>
      <c r="C96" s="696" t="s">
        <v>270</v>
      </c>
      <c r="D96" s="693"/>
      <c r="E96" s="693"/>
      <c r="F96" s="69" t="s">
        <v>253</v>
      </c>
      <c r="G96" s="70">
        <v>14.6</v>
      </c>
      <c r="H96" s="580">
        <v>0</v>
      </c>
      <c r="I96" s="70">
        <f>G96*AO96</f>
        <v>0</v>
      </c>
      <c r="J96" s="70">
        <f>G96*AP96</f>
        <v>0</v>
      </c>
      <c r="K96" s="70">
        <f>G96*H96</f>
        <v>0</v>
      </c>
      <c r="L96" s="71" t="s">
        <v>120</v>
      </c>
      <c r="Z96" s="70">
        <f>IF(AQ96="5",BJ96,0)</f>
        <v>0</v>
      </c>
      <c r="AB96" s="70">
        <f>IF(AQ96="1",BH96,0)</f>
        <v>0</v>
      </c>
      <c r="AC96" s="70">
        <f>IF(AQ96="1",BI96,0)</f>
        <v>0</v>
      </c>
      <c r="AD96" s="70">
        <f>IF(AQ96="7",BH96,0)</f>
        <v>0</v>
      </c>
      <c r="AE96" s="70">
        <f>IF(AQ96="7",BI96,0)</f>
        <v>0</v>
      </c>
      <c r="AF96" s="70">
        <f>IF(AQ96="2",BH96,0)</f>
        <v>0</v>
      </c>
      <c r="AG96" s="70">
        <f>IF(AQ96="2",BI96,0)</f>
        <v>0</v>
      </c>
      <c r="AH96" s="70">
        <f>IF(AQ96="0",BJ96,0)</f>
        <v>0</v>
      </c>
      <c r="AI96" s="67" t="s">
        <v>155</v>
      </c>
      <c r="AJ96" s="70">
        <f>IF(AN96=0,K96,0)</f>
        <v>0</v>
      </c>
      <c r="AK96" s="70">
        <f>IF(AN96=15,K96,0)</f>
        <v>0</v>
      </c>
      <c r="AL96" s="70">
        <f>IF(AN96=21,K96,0)</f>
        <v>0</v>
      </c>
      <c r="AN96" s="70">
        <v>21</v>
      </c>
      <c r="AO96" s="70">
        <f>H96*0</f>
        <v>0</v>
      </c>
      <c r="AP96" s="70">
        <f>H96*(1-0)</f>
        <v>0</v>
      </c>
      <c r="AQ96" s="71" t="s">
        <v>106</v>
      </c>
      <c r="AV96" s="70">
        <f>AW96+AX96</f>
        <v>0</v>
      </c>
      <c r="AW96" s="70">
        <f>G96*AO96</f>
        <v>0</v>
      </c>
      <c r="AX96" s="70">
        <f>G96*AP96</f>
        <v>0</v>
      </c>
      <c r="AY96" s="71" t="s">
        <v>111</v>
      </c>
      <c r="AZ96" s="71" t="s">
        <v>266</v>
      </c>
      <c r="BA96" s="67" t="s">
        <v>267</v>
      </c>
      <c r="BC96" s="70">
        <f>AW96+AX96</f>
        <v>0</v>
      </c>
      <c r="BD96" s="70">
        <f>H96/(100-BE96)*100</f>
        <v>0</v>
      </c>
      <c r="BE96" s="70">
        <v>0</v>
      </c>
      <c r="BF96" s="70">
        <f>96</f>
        <v>96</v>
      </c>
      <c r="BH96" s="70">
        <f>G96*AO96</f>
        <v>0</v>
      </c>
      <c r="BI96" s="70">
        <f>G96*AP96</f>
        <v>0</v>
      </c>
      <c r="BJ96" s="70">
        <f>G96*H96</f>
        <v>0</v>
      </c>
    </row>
    <row r="97" spans="1:62" ht="15">
      <c r="A97" s="69" t="s">
        <v>271</v>
      </c>
      <c r="B97" s="69" t="s">
        <v>251</v>
      </c>
      <c r="C97" s="696" t="s">
        <v>272</v>
      </c>
      <c r="D97" s="693"/>
      <c r="E97" s="693"/>
      <c r="F97" s="69" t="s">
        <v>253</v>
      </c>
      <c r="G97" s="70">
        <v>33.4</v>
      </c>
      <c r="H97" s="580">
        <v>0</v>
      </c>
      <c r="I97" s="70">
        <f>G97*AO97</f>
        <v>0</v>
      </c>
      <c r="J97" s="70">
        <f>G97*AP97</f>
        <v>0</v>
      </c>
      <c r="K97" s="70">
        <f>G97*H97</f>
        <v>0</v>
      </c>
      <c r="L97" s="71" t="s">
        <v>120</v>
      </c>
      <c r="Z97" s="70">
        <f>IF(AQ97="5",BJ97,0)</f>
        <v>0</v>
      </c>
      <c r="AB97" s="70">
        <f>IF(AQ97="1",BH97,0)</f>
        <v>0</v>
      </c>
      <c r="AC97" s="70">
        <f>IF(AQ97="1",BI97,0)</f>
        <v>0</v>
      </c>
      <c r="AD97" s="70">
        <f>IF(AQ97="7",BH97,0)</f>
        <v>0</v>
      </c>
      <c r="AE97" s="70">
        <f>IF(AQ97="7",BI97,0)</f>
        <v>0</v>
      </c>
      <c r="AF97" s="70">
        <f>IF(AQ97="2",BH97,0)</f>
        <v>0</v>
      </c>
      <c r="AG97" s="70">
        <f>IF(AQ97="2",BI97,0)</f>
        <v>0</v>
      </c>
      <c r="AH97" s="70">
        <f>IF(AQ97="0",BJ97,0)</f>
        <v>0</v>
      </c>
      <c r="AI97" s="67" t="s">
        <v>155</v>
      </c>
      <c r="AJ97" s="70">
        <f>IF(AN97=0,K97,0)</f>
        <v>0</v>
      </c>
      <c r="AK97" s="70">
        <f>IF(AN97=15,K97,0)</f>
        <v>0</v>
      </c>
      <c r="AL97" s="70">
        <f>IF(AN97=21,K97,0)</f>
        <v>0</v>
      </c>
      <c r="AN97" s="70">
        <v>21</v>
      </c>
      <c r="AO97" s="70">
        <f>H97*0</f>
        <v>0</v>
      </c>
      <c r="AP97" s="70">
        <f>H97*(1-0)</f>
        <v>0</v>
      </c>
      <c r="AQ97" s="71" t="s">
        <v>106</v>
      </c>
      <c r="AV97" s="70">
        <f>AW97+AX97</f>
        <v>0</v>
      </c>
      <c r="AW97" s="70">
        <f>G97*AO97</f>
        <v>0</v>
      </c>
      <c r="AX97" s="70">
        <f>G97*AP97</f>
        <v>0</v>
      </c>
      <c r="AY97" s="71" t="s">
        <v>111</v>
      </c>
      <c r="AZ97" s="71" t="s">
        <v>266</v>
      </c>
      <c r="BA97" s="67" t="s">
        <v>267</v>
      </c>
      <c r="BC97" s="70">
        <f>AW97+AX97</f>
        <v>0</v>
      </c>
      <c r="BD97" s="70">
        <f>H97/(100-BE97)*100</f>
        <v>0</v>
      </c>
      <c r="BE97" s="70">
        <v>0</v>
      </c>
      <c r="BF97" s="70">
        <f>97</f>
        <v>97</v>
      </c>
      <c r="BH97" s="70">
        <f>G97*AO97</f>
        <v>0</v>
      </c>
      <c r="BI97" s="70">
        <f>G97*AP97</f>
        <v>0</v>
      </c>
      <c r="BJ97" s="70">
        <f>G97*H97</f>
        <v>0</v>
      </c>
    </row>
    <row r="98" spans="1:47" ht="15">
      <c r="A98" s="88"/>
      <c r="B98" s="89" t="s">
        <v>127</v>
      </c>
      <c r="C98" s="710" t="s">
        <v>128</v>
      </c>
      <c r="D98" s="711"/>
      <c r="E98" s="711"/>
      <c r="F98" s="88" t="s">
        <v>70</v>
      </c>
      <c r="G98" s="88" t="s">
        <v>70</v>
      </c>
      <c r="H98" s="88" t="s">
        <v>70</v>
      </c>
      <c r="I98" s="90">
        <f>SUM(I99:I101)</f>
        <v>0</v>
      </c>
      <c r="J98" s="90">
        <f>SUM(J99:J101)</f>
        <v>0</v>
      </c>
      <c r="K98" s="90">
        <f>SUM(K99:K101)</f>
        <v>0</v>
      </c>
      <c r="L98" s="91"/>
      <c r="AI98" s="67" t="s">
        <v>155</v>
      </c>
      <c r="AS98" s="68">
        <f>SUM(AJ99:AJ101)</f>
        <v>0</v>
      </c>
      <c r="AT98" s="68">
        <f>SUM(AK99:AK101)</f>
        <v>0</v>
      </c>
      <c r="AU98" s="68">
        <f>SUM(AL99:AL101)</f>
        <v>0</v>
      </c>
    </row>
    <row r="99" spans="1:62" ht="15">
      <c r="A99" s="69" t="s">
        <v>273</v>
      </c>
      <c r="B99" s="69" t="s">
        <v>130</v>
      </c>
      <c r="C99" s="696" t="s">
        <v>131</v>
      </c>
      <c r="D99" s="693"/>
      <c r="E99" s="693"/>
      <c r="F99" s="69" t="s">
        <v>132</v>
      </c>
      <c r="G99" s="70">
        <v>103.3</v>
      </c>
      <c r="H99" s="580">
        <v>0</v>
      </c>
      <c r="I99" s="70">
        <f>G99*AO99</f>
        <v>0</v>
      </c>
      <c r="J99" s="70">
        <f>G99*AP99</f>
        <v>0</v>
      </c>
      <c r="K99" s="70">
        <f>G99*H99</f>
        <v>0</v>
      </c>
      <c r="L99" s="71" t="s">
        <v>110</v>
      </c>
      <c r="Z99" s="70">
        <f>IF(AQ99="5",BJ99,0)</f>
        <v>0</v>
      </c>
      <c r="AB99" s="70">
        <f>IF(AQ99="1",BH99,0)</f>
        <v>0</v>
      </c>
      <c r="AC99" s="70">
        <f>IF(AQ99="1",BI99,0)</f>
        <v>0</v>
      </c>
      <c r="AD99" s="70">
        <f>IF(AQ99="7",BH99,0)</f>
        <v>0</v>
      </c>
      <c r="AE99" s="70">
        <f>IF(AQ99="7",BI99,0)</f>
        <v>0</v>
      </c>
      <c r="AF99" s="70">
        <f>IF(AQ99="2",BH99,0)</f>
        <v>0</v>
      </c>
      <c r="AG99" s="70">
        <f>IF(AQ99="2",BI99,0)</f>
        <v>0</v>
      </c>
      <c r="AH99" s="70">
        <f>IF(AQ99="0",BJ99,0)</f>
        <v>0</v>
      </c>
      <c r="AI99" s="67" t="s">
        <v>155</v>
      </c>
      <c r="AJ99" s="70">
        <f>IF(AN99=0,K99,0)</f>
        <v>0</v>
      </c>
      <c r="AK99" s="70">
        <f>IF(AN99=15,K99,0)</f>
        <v>0</v>
      </c>
      <c r="AL99" s="70">
        <f>IF(AN99=21,K99,0)</f>
        <v>0</v>
      </c>
      <c r="AN99" s="70">
        <v>21</v>
      </c>
      <c r="AO99" s="70">
        <f>H99*0.0106885245901639</f>
        <v>0</v>
      </c>
      <c r="AP99" s="70">
        <f>H99*(1-0.0106885245901639)</f>
        <v>0</v>
      </c>
      <c r="AQ99" s="71" t="s">
        <v>124</v>
      </c>
      <c r="AV99" s="70">
        <f>AW99+AX99</f>
        <v>0</v>
      </c>
      <c r="AW99" s="70">
        <f>G99*AO99</f>
        <v>0</v>
      </c>
      <c r="AX99" s="70">
        <f>G99*AP99</f>
        <v>0</v>
      </c>
      <c r="AY99" s="71" t="s">
        <v>133</v>
      </c>
      <c r="AZ99" s="71" t="s">
        <v>274</v>
      </c>
      <c r="BA99" s="67" t="s">
        <v>267</v>
      </c>
      <c r="BC99" s="70">
        <f>AW99+AX99</f>
        <v>0</v>
      </c>
      <c r="BD99" s="70">
        <f>H99/(100-BE99)*100</f>
        <v>0</v>
      </c>
      <c r="BE99" s="70">
        <v>0</v>
      </c>
      <c r="BF99" s="70">
        <f>99</f>
        <v>99</v>
      </c>
      <c r="BH99" s="70">
        <f>G99*AO99</f>
        <v>0</v>
      </c>
      <c r="BI99" s="70">
        <f>G99*AP99</f>
        <v>0</v>
      </c>
      <c r="BJ99" s="70">
        <f>G99*H99</f>
        <v>0</v>
      </c>
    </row>
    <row r="100" spans="2:12" ht="38.7" customHeight="1">
      <c r="B100" s="75" t="s">
        <v>67</v>
      </c>
      <c r="C100" s="725" t="s">
        <v>275</v>
      </c>
      <c r="D100" s="726"/>
      <c r="E100" s="726"/>
      <c r="F100" s="726"/>
      <c r="G100" s="726"/>
      <c r="H100" s="726"/>
      <c r="I100" s="726"/>
      <c r="J100" s="726"/>
      <c r="K100" s="726"/>
      <c r="L100" s="726"/>
    </row>
    <row r="101" spans="1:62" ht="15">
      <c r="A101" s="69" t="s">
        <v>276</v>
      </c>
      <c r="B101" s="69" t="s">
        <v>137</v>
      </c>
      <c r="C101" s="696" t="s">
        <v>138</v>
      </c>
      <c r="D101" s="693"/>
      <c r="E101" s="693"/>
      <c r="F101" s="69" t="s">
        <v>132</v>
      </c>
      <c r="G101" s="70">
        <v>66.8</v>
      </c>
      <c r="H101" s="580">
        <v>0</v>
      </c>
      <c r="I101" s="70">
        <f>G101*AO101</f>
        <v>0</v>
      </c>
      <c r="J101" s="70">
        <f>G101*AP101</f>
        <v>0</v>
      </c>
      <c r="K101" s="70">
        <f>G101*H101</f>
        <v>0</v>
      </c>
      <c r="L101" s="71" t="s">
        <v>110</v>
      </c>
      <c r="Z101" s="70">
        <f>IF(AQ101="5",BJ101,0)</f>
        <v>0</v>
      </c>
      <c r="AB101" s="70">
        <f>IF(AQ101="1",BH101,0)</f>
        <v>0</v>
      </c>
      <c r="AC101" s="70">
        <f>IF(AQ101="1",BI101,0)</f>
        <v>0</v>
      </c>
      <c r="AD101" s="70">
        <f>IF(AQ101="7",BH101,0)</f>
        <v>0</v>
      </c>
      <c r="AE101" s="70">
        <f>IF(AQ101="7",BI101,0)</f>
        <v>0</v>
      </c>
      <c r="AF101" s="70">
        <f>IF(AQ101="2",BH101,0)</f>
        <v>0</v>
      </c>
      <c r="AG101" s="70">
        <f>IF(AQ101="2",BI101,0)</f>
        <v>0</v>
      </c>
      <c r="AH101" s="70">
        <f>IF(AQ101="0",BJ101,0)</f>
        <v>0</v>
      </c>
      <c r="AI101" s="67" t="s">
        <v>155</v>
      </c>
      <c r="AJ101" s="70">
        <f>IF(AN101=0,K101,0)</f>
        <v>0</v>
      </c>
      <c r="AK101" s="70">
        <f>IF(AN101=15,K101,0)</f>
        <v>0</v>
      </c>
      <c r="AL101" s="70">
        <f>IF(AN101=21,K101,0)</f>
        <v>0</v>
      </c>
      <c r="AN101" s="70">
        <v>21</v>
      </c>
      <c r="AO101" s="70">
        <f>H101*0</f>
        <v>0</v>
      </c>
      <c r="AP101" s="70">
        <f>H101*(1-0)</f>
        <v>0</v>
      </c>
      <c r="AQ101" s="71" t="s">
        <v>124</v>
      </c>
      <c r="AV101" s="70">
        <f>AW101+AX101</f>
        <v>0</v>
      </c>
      <c r="AW101" s="70">
        <f>G101*AO101</f>
        <v>0</v>
      </c>
      <c r="AX101" s="70">
        <f>G101*AP101</f>
        <v>0</v>
      </c>
      <c r="AY101" s="71" t="s">
        <v>133</v>
      </c>
      <c r="AZ101" s="71" t="s">
        <v>274</v>
      </c>
      <c r="BA101" s="67" t="s">
        <v>267</v>
      </c>
      <c r="BC101" s="70">
        <f>AW101+AX101</f>
        <v>0</v>
      </c>
      <c r="BD101" s="70">
        <f>H101/(100-BE101)*100</f>
        <v>0</v>
      </c>
      <c r="BE101" s="70">
        <v>0</v>
      </c>
      <c r="BF101" s="70">
        <f>101</f>
        <v>101</v>
      </c>
      <c r="BH101" s="70">
        <f>G101*AO101</f>
        <v>0</v>
      </c>
      <c r="BI101" s="70">
        <f>G101*AP101</f>
        <v>0</v>
      </c>
      <c r="BJ101" s="70">
        <f>G101*H101</f>
        <v>0</v>
      </c>
    </row>
    <row r="102" spans="1:12" ht="15">
      <c r="A102" s="48"/>
      <c r="B102" s="49"/>
      <c r="C102" s="727" t="s">
        <v>277</v>
      </c>
      <c r="D102" s="728"/>
      <c r="E102" s="728"/>
      <c r="F102" s="48" t="s">
        <v>70</v>
      </c>
      <c r="G102" s="48" t="s">
        <v>70</v>
      </c>
      <c r="H102" s="48" t="s">
        <v>70</v>
      </c>
      <c r="I102" s="50">
        <f>I103</f>
        <v>0</v>
      </c>
      <c r="J102" s="50">
        <f>J103</f>
        <v>0</v>
      </c>
      <c r="K102" s="50">
        <f>K103</f>
        <v>0</v>
      </c>
      <c r="L102" s="51"/>
    </row>
    <row r="103" spans="1:47" ht="15">
      <c r="A103" s="88"/>
      <c r="B103" s="89" t="s">
        <v>169</v>
      </c>
      <c r="C103" s="710" t="s">
        <v>278</v>
      </c>
      <c r="D103" s="711"/>
      <c r="E103" s="711"/>
      <c r="F103" s="88" t="s">
        <v>70</v>
      </c>
      <c r="G103" s="88" t="s">
        <v>70</v>
      </c>
      <c r="H103" s="88" t="s">
        <v>70</v>
      </c>
      <c r="I103" s="90">
        <f>SUM(I104:I105)</f>
        <v>0</v>
      </c>
      <c r="J103" s="90">
        <f>SUM(J104:J105)</f>
        <v>0</v>
      </c>
      <c r="K103" s="90">
        <f>SUM(K104:K105)</f>
        <v>0</v>
      </c>
      <c r="L103" s="91"/>
      <c r="AI103" s="67" t="s">
        <v>158</v>
      </c>
      <c r="AS103" s="68">
        <f>SUM(AJ104:AJ105)</f>
        <v>0</v>
      </c>
      <c r="AT103" s="68">
        <f>SUM(AK104:AK105)</f>
        <v>0</v>
      </c>
      <c r="AU103" s="68">
        <f>SUM(AL104:AL105)</f>
        <v>0</v>
      </c>
    </row>
    <row r="104" spans="1:62" ht="15">
      <c r="A104" s="69" t="s">
        <v>279</v>
      </c>
      <c r="B104" s="69" t="s">
        <v>280</v>
      </c>
      <c r="C104" s="696" t="s">
        <v>281</v>
      </c>
      <c r="D104" s="693"/>
      <c r="E104" s="693"/>
      <c r="F104" s="69" t="s">
        <v>253</v>
      </c>
      <c r="G104" s="70">
        <v>4.4</v>
      </c>
      <c r="H104" s="580">
        <v>0</v>
      </c>
      <c r="I104" s="70">
        <f>G104*AO104</f>
        <v>0</v>
      </c>
      <c r="J104" s="70">
        <f>G104*AP104</f>
        <v>0</v>
      </c>
      <c r="K104" s="70">
        <f>G104*H104</f>
        <v>0</v>
      </c>
      <c r="L104" s="71" t="s">
        <v>282</v>
      </c>
      <c r="Z104" s="70">
        <f>IF(AQ104="5",BJ104,0)</f>
        <v>0</v>
      </c>
      <c r="AB104" s="70">
        <f>IF(AQ104="1",BH104,0)</f>
        <v>0</v>
      </c>
      <c r="AC104" s="70">
        <f>IF(AQ104="1",BI104,0)</f>
        <v>0</v>
      </c>
      <c r="AD104" s="70">
        <f>IF(AQ104="7",BH104,0)</f>
        <v>0</v>
      </c>
      <c r="AE104" s="70">
        <f>IF(AQ104="7",BI104,0)</f>
        <v>0</v>
      </c>
      <c r="AF104" s="70">
        <f>IF(AQ104="2",BH104,0)</f>
        <v>0</v>
      </c>
      <c r="AG104" s="70">
        <f>IF(AQ104="2",BI104,0)</f>
        <v>0</v>
      </c>
      <c r="AH104" s="70">
        <f>IF(AQ104="0",BJ104,0)</f>
        <v>0</v>
      </c>
      <c r="AI104" s="67" t="s">
        <v>158</v>
      </c>
      <c r="AJ104" s="70">
        <f>IF(AN104=0,K104,0)</f>
        <v>0</v>
      </c>
      <c r="AK104" s="70">
        <f>IF(AN104=15,K104,0)</f>
        <v>0</v>
      </c>
      <c r="AL104" s="70">
        <f>IF(AN104=21,K104,0)</f>
        <v>0</v>
      </c>
      <c r="AN104" s="70">
        <v>21</v>
      </c>
      <c r="AO104" s="70">
        <f>H104*0</f>
        <v>0</v>
      </c>
      <c r="AP104" s="70">
        <f>H104*(1-0)</f>
        <v>0</v>
      </c>
      <c r="AQ104" s="71" t="s">
        <v>106</v>
      </c>
      <c r="AV104" s="70">
        <f>AW104+AX104</f>
        <v>0</v>
      </c>
      <c r="AW104" s="70">
        <f>G104*AO104</f>
        <v>0</v>
      </c>
      <c r="AX104" s="70">
        <f>G104*AP104</f>
        <v>0</v>
      </c>
      <c r="AY104" s="71" t="s">
        <v>283</v>
      </c>
      <c r="AZ104" s="71" t="s">
        <v>284</v>
      </c>
      <c r="BA104" s="67" t="s">
        <v>285</v>
      </c>
      <c r="BC104" s="70">
        <f>AW104+AX104</f>
        <v>0</v>
      </c>
      <c r="BD104" s="70">
        <f>H104/(100-BE104)*100</f>
        <v>0</v>
      </c>
      <c r="BE104" s="70">
        <v>0</v>
      </c>
      <c r="BF104" s="70">
        <f>104</f>
        <v>104</v>
      </c>
      <c r="BH104" s="70">
        <f>G104*AO104</f>
        <v>0</v>
      </c>
      <c r="BI104" s="70">
        <f>G104*AP104</f>
        <v>0</v>
      </c>
      <c r="BJ104" s="70">
        <f>G104*H104</f>
        <v>0</v>
      </c>
    </row>
    <row r="105" spans="1:62" ht="15">
      <c r="A105" s="72" t="s">
        <v>286</v>
      </c>
      <c r="B105" s="72" t="s">
        <v>287</v>
      </c>
      <c r="C105" s="712" t="s">
        <v>288</v>
      </c>
      <c r="D105" s="693"/>
      <c r="E105" s="713"/>
      <c r="F105" s="72" t="s">
        <v>253</v>
      </c>
      <c r="G105" s="73">
        <v>5.4</v>
      </c>
      <c r="H105" s="581">
        <v>0</v>
      </c>
      <c r="I105" s="73">
        <f>G105*AO105</f>
        <v>0</v>
      </c>
      <c r="J105" s="73">
        <f>G105*AP105</f>
        <v>0</v>
      </c>
      <c r="K105" s="73">
        <f>G105*H105</f>
        <v>0</v>
      </c>
      <c r="L105" s="74" t="s">
        <v>120</v>
      </c>
      <c r="Z105" s="70">
        <f>IF(AQ105="5",BJ105,0)</f>
        <v>0</v>
      </c>
      <c r="AB105" s="70">
        <f>IF(AQ105="1",BH105,0)</f>
        <v>0</v>
      </c>
      <c r="AC105" s="70">
        <f>IF(AQ105="1",BI105,0)</f>
        <v>0</v>
      </c>
      <c r="AD105" s="70">
        <f>IF(AQ105="7",BH105,0)</f>
        <v>0</v>
      </c>
      <c r="AE105" s="70">
        <f>IF(AQ105="7",BI105,0)</f>
        <v>0</v>
      </c>
      <c r="AF105" s="70">
        <f>IF(AQ105="2",BH105,0)</f>
        <v>0</v>
      </c>
      <c r="AG105" s="70">
        <f>IF(AQ105="2",BI105,0)</f>
        <v>0</v>
      </c>
      <c r="AH105" s="70">
        <f>IF(AQ105="0",BJ105,0)</f>
        <v>0</v>
      </c>
      <c r="AI105" s="67" t="s">
        <v>158</v>
      </c>
      <c r="AJ105" s="70">
        <f>IF(AN105=0,K105,0)</f>
        <v>0</v>
      </c>
      <c r="AK105" s="70">
        <f>IF(AN105=15,K105,0)</f>
        <v>0</v>
      </c>
      <c r="AL105" s="70">
        <f>IF(AN105=21,K105,0)</f>
        <v>0</v>
      </c>
      <c r="AN105" s="70">
        <v>21</v>
      </c>
      <c r="AO105" s="70">
        <f>H105*0</f>
        <v>0</v>
      </c>
      <c r="AP105" s="70">
        <f>H105*(1-0)</f>
        <v>0</v>
      </c>
      <c r="AQ105" s="71" t="s">
        <v>106</v>
      </c>
      <c r="AV105" s="70">
        <f>AW105+AX105</f>
        <v>0</v>
      </c>
      <c r="AW105" s="70">
        <f>G105*AO105</f>
        <v>0</v>
      </c>
      <c r="AX105" s="70">
        <f>G105*AP105</f>
        <v>0</v>
      </c>
      <c r="AY105" s="71" t="s">
        <v>283</v>
      </c>
      <c r="AZ105" s="71" t="s">
        <v>284</v>
      </c>
      <c r="BA105" s="67" t="s">
        <v>285</v>
      </c>
      <c r="BC105" s="70">
        <f>AW105+AX105</f>
        <v>0</v>
      </c>
      <c r="BD105" s="70">
        <f>H105/(100-BE105)*100</f>
        <v>0</v>
      </c>
      <c r="BE105" s="70">
        <v>0</v>
      </c>
      <c r="BF105" s="70">
        <f>105</f>
        <v>105</v>
      </c>
      <c r="BH105" s="70">
        <f>G105*AO105</f>
        <v>0</v>
      </c>
      <c r="BI105" s="70">
        <f>G105*AP105</f>
        <v>0</v>
      </c>
      <c r="BJ105" s="70">
        <f>G105*H105</f>
        <v>0</v>
      </c>
    </row>
    <row r="106" spans="1:12" ht="15">
      <c r="A106" s="48"/>
      <c r="B106" s="49"/>
      <c r="C106" s="727" t="s">
        <v>289</v>
      </c>
      <c r="D106" s="728"/>
      <c r="E106" s="728"/>
      <c r="F106" s="48" t="s">
        <v>70</v>
      </c>
      <c r="G106" s="48" t="s">
        <v>70</v>
      </c>
      <c r="H106" s="48" t="s">
        <v>70</v>
      </c>
      <c r="I106" s="50">
        <f>I107+I110</f>
        <v>0</v>
      </c>
      <c r="J106" s="50">
        <f>J107+J110</f>
        <v>0</v>
      </c>
      <c r="K106" s="50">
        <f>K107+K110</f>
        <v>0</v>
      </c>
      <c r="L106" s="51"/>
    </row>
    <row r="107" spans="1:47" ht="15">
      <c r="A107" s="88"/>
      <c r="B107" s="89" t="s">
        <v>103</v>
      </c>
      <c r="C107" s="710" t="s">
        <v>104</v>
      </c>
      <c r="D107" s="711"/>
      <c r="E107" s="711"/>
      <c r="F107" s="88" t="s">
        <v>70</v>
      </c>
      <c r="G107" s="88" t="s">
        <v>70</v>
      </c>
      <c r="H107" s="88" t="s">
        <v>70</v>
      </c>
      <c r="I107" s="90">
        <f>SUM(I108:I109)</f>
        <v>0</v>
      </c>
      <c r="J107" s="90">
        <f>SUM(J108:J109)</f>
        <v>0</v>
      </c>
      <c r="K107" s="90">
        <f>SUM(K108:K109)</f>
        <v>0</v>
      </c>
      <c r="L107" s="91"/>
      <c r="AI107" s="67" t="s">
        <v>163</v>
      </c>
      <c r="AS107" s="68">
        <f>SUM(AJ108:AJ109)</f>
        <v>0</v>
      </c>
      <c r="AT107" s="68">
        <f>SUM(AK108:AK109)</f>
        <v>0</v>
      </c>
      <c r="AU107" s="68">
        <f>SUM(AL108:AL109)</f>
        <v>0</v>
      </c>
    </row>
    <row r="108" spans="1:62" ht="15">
      <c r="A108" s="69" t="s">
        <v>290</v>
      </c>
      <c r="B108" s="69" t="s">
        <v>291</v>
      </c>
      <c r="C108" s="696" t="s">
        <v>292</v>
      </c>
      <c r="D108" s="693"/>
      <c r="E108" s="693"/>
      <c r="F108" s="69" t="s">
        <v>109</v>
      </c>
      <c r="G108" s="70">
        <v>2</v>
      </c>
      <c r="H108" s="580">
        <v>0</v>
      </c>
      <c r="I108" s="70">
        <f>G108*AO108</f>
        <v>0</v>
      </c>
      <c r="J108" s="70">
        <f>G108*AP108</f>
        <v>0</v>
      </c>
      <c r="K108" s="70">
        <f>G108*H108</f>
        <v>0</v>
      </c>
      <c r="L108" s="71" t="s">
        <v>120</v>
      </c>
      <c r="Z108" s="70">
        <f>IF(AQ108="5",BJ108,0)</f>
        <v>0</v>
      </c>
      <c r="AB108" s="70">
        <f>IF(AQ108="1",BH108,0)</f>
        <v>0</v>
      </c>
      <c r="AC108" s="70">
        <f>IF(AQ108="1",BI108,0)</f>
        <v>0</v>
      </c>
      <c r="AD108" s="70">
        <f>IF(AQ108="7",BH108,0)</f>
        <v>0</v>
      </c>
      <c r="AE108" s="70">
        <f>IF(AQ108="7",BI108,0)</f>
        <v>0</v>
      </c>
      <c r="AF108" s="70">
        <f>IF(AQ108="2",BH108,0)</f>
        <v>0</v>
      </c>
      <c r="AG108" s="70">
        <f>IF(AQ108="2",BI108,0)</f>
        <v>0</v>
      </c>
      <c r="AH108" s="70">
        <f>IF(AQ108="0",BJ108,0)</f>
        <v>0</v>
      </c>
      <c r="AI108" s="67" t="s">
        <v>163</v>
      </c>
      <c r="AJ108" s="70">
        <f>IF(AN108=0,K108,0)</f>
        <v>0</v>
      </c>
      <c r="AK108" s="70">
        <f>IF(AN108=15,K108,0)</f>
        <v>0</v>
      </c>
      <c r="AL108" s="70">
        <f>IF(AN108=21,K108,0)</f>
        <v>0</v>
      </c>
      <c r="AN108" s="70">
        <v>21</v>
      </c>
      <c r="AO108" s="70">
        <f>H108*0</f>
        <v>0</v>
      </c>
      <c r="AP108" s="70">
        <f>H108*(1-0)</f>
        <v>0</v>
      </c>
      <c r="AQ108" s="71" t="s">
        <v>106</v>
      </c>
      <c r="AV108" s="70">
        <f>AW108+AX108</f>
        <v>0</v>
      </c>
      <c r="AW108" s="70">
        <f>G108*AO108</f>
        <v>0</v>
      </c>
      <c r="AX108" s="70">
        <f>G108*AP108</f>
        <v>0</v>
      </c>
      <c r="AY108" s="71" t="s">
        <v>111</v>
      </c>
      <c r="AZ108" s="71" t="s">
        <v>293</v>
      </c>
      <c r="BA108" s="67" t="s">
        <v>294</v>
      </c>
      <c r="BC108" s="70">
        <f>AW108+AX108</f>
        <v>0</v>
      </c>
      <c r="BD108" s="70">
        <f>H108/(100-BE108)*100</f>
        <v>0</v>
      </c>
      <c r="BE108" s="70">
        <v>0</v>
      </c>
      <c r="BF108" s="70">
        <f>108</f>
        <v>108</v>
      </c>
      <c r="BH108" s="70">
        <f>G108*AO108</f>
        <v>0</v>
      </c>
      <c r="BI108" s="70">
        <f>G108*AP108</f>
        <v>0</v>
      </c>
      <c r="BJ108" s="70">
        <f>G108*H108</f>
        <v>0</v>
      </c>
    </row>
    <row r="109" spans="1:62" ht="15">
      <c r="A109" s="69" t="s">
        <v>295</v>
      </c>
      <c r="B109" s="69" t="s">
        <v>296</v>
      </c>
      <c r="C109" s="696" t="s">
        <v>297</v>
      </c>
      <c r="D109" s="693"/>
      <c r="E109" s="693"/>
      <c r="F109" s="69" t="s">
        <v>109</v>
      </c>
      <c r="G109" s="70">
        <v>1.7</v>
      </c>
      <c r="H109" s="580">
        <v>0</v>
      </c>
      <c r="I109" s="70">
        <f>G109*AO109</f>
        <v>0</v>
      </c>
      <c r="J109" s="70">
        <f>G109*AP109</f>
        <v>0</v>
      </c>
      <c r="K109" s="70">
        <f>G109*H109</f>
        <v>0</v>
      </c>
      <c r="L109" s="71" t="s">
        <v>120</v>
      </c>
      <c r="Z109" s="70">
        <f>IF(AQ109="5",BJ109,0)</f>
        <v>0</v>
      </c>
      <c r="AB109" s="70">
        <f>IF(AQ109="1",BH109,0)</f>
        <v>0</v>
      </c>
      <c r="AC109" s="70">
        <f>IF(AQ109="1",BI109,0)</f>
        <v>0</v>
      </c>
      <c r="AD109" s="70">
        <f>IF(AQ109="7",BH109,0)</f>
        <v>0</v>
      </c>
      <c r="AE109" s="70">
        <f>IF(AQ109="7",BI109,0)</f>
        <v>0</v>
      </c>
      <c r="AF109" s="70">
        <f>IF(AQ109="2",BH109,0)</f>
        <v>0</v>
      </c>
      <c r="AG109" s="70">
        <f>IF(AQ109="2",BI109,0)</f>
        <v>0</v>
      </c>
      <c r="AH109" s="70">
        <f>IF(AQ109="0",BJ109,0)</f>
        <v>0</v>
      </c>
      <c r="AI109" s="67" t="s">
        <v>163</v>
      </c>
      <c r="AJ109" s="70">
        <f>IF(AN109=0,K109,0)</f>
        <v>0</v>
      </c>
      <c r="AK109" s="70">
        <f>IF(AN109=15,K109,0)</f>
        <v>0</v>
      </c>
      <c r="AL109" s="70">
        <f>IF(AN109=21,K109,0)</f>
        <v>0</v>
      </c>
      <c r="AN109" s="70">
        <v>21</v>
      </c>
      <c r="AO109" s="70">
        <f>H109*0</f>
        <v>0</v>
      </c>
      <c r="AP109" s="70">
        <f>H109*(1-0)</f>
        <v>0</v>
      </c>
      <c r="AQ109" s="71" t="s">
        <v>106</v>
      </c>
      <c r="AV109" s="70">
        <f>AW109+AX109</f>
        <v>0</v>
      </c>
      <c r="AW109" s="70">
        <f>G109*AO109</f>
        <v>0</v>
      </c>
      <c r="AX109" s="70">
        <f>G109*AP109</f>
        <v>0</v>
      </c>
      <c r="AY109" s="71" t="s">
        <v>111</v>
      </c>
      <c r="AZ109" s="71" t="s">
        <v>293</v>
      </c>
      <c r="BA109" s="67" t="s">
        <v>294</v>
      </c>
      <c r="BC109" s="70">
        <f>AW109+AX109</f>
        <v>0</v>
      </c>
      <c r="BD109" s="70">
        <f>H109/(100-BE109)*100</f>
        <v>0</v>
      </c>
      <c r="BE109" s="70">
        <v>0</v>
      </c>
      <c r="BF109" s="70">
        <f>109</f>
        <v>109</v>
      </c>
      <c r="BH109" s="70">
        <f>G109*AO109</f>
        <v>0</v>
      </c>
      <c r="BI109" s="70">
        <f>G109*AP109</f>
        <v>0</v>
      </c>
      <c r="BJ109" s="70">
        <f>G109*H109</f>
        <v>0</v>
      </c>
    </row>
    <row r="110" spans="1:47" ht="15">
      <c r="A110" s="88"/>
      <c r="B110" s="89" t="s">
        <v>127</v>
      </c>
      <c r="C110" s="710" t="s">
        <v>128</v>
      </c>
      <c r="D110" s="711"/>
      <c r="E110" s="711"/>
      <c r="F110" s="88" t="s">
        <v>70</v>
      </c>
      <c r="G110" s="88" t="s">
        <v>70</v>
      </c>
      <c r="H110" s="88" t="s">
        <v>70</v>
      </c>
      <c r="I110" s="90">
        <f>SUM(I111:I113)</f>
        <v>0</v>
      </c>
      <c r="J110" s="90">
        <f>SUM(J111:J113)</f>
        <v>0</v>
      </c>
      <c r="K110" s="90">
        <f>SUM(K111:K113)</f>
        <v>0</v>
      </c>
      <c r="L110" s="91"/>
      <c r="AI110" s="67" t="s">
        <v>163</v>
      </c>
      <c r="AS110" s="68">
        <f>SUM(AJ111:AJ113)</f>
        <v>0</v>
      </c>
      <c r="AT110" s="68">
        <f>SUM(AK111:AK113)</f>
        <v>0</v>
      </c>
      <c r="AU110" s="68">
        <f>SUM(AL111:AL113)</f>
        <v>0</v>
      </c>
    </row>
    <row r="111" spans="1:62" ht="15">
      <c r="A111" s="69" t="s">
        <v>298</v>
      </c>
      <c r="B111" s="69" t="s">
        <v>130</v>
      </c>
      <c r="C111" s="696" t="s">
        <v>131</v>
      </c>
      <c r="D111" s="693"/>
      <c r="E111" s="693"/>
      <c r="F111" s="69" t="s">
        <v>132</v>
      </c>
      <c r="G111" s="70">
        <v>0.1</v>
      </c>
      <c r="H111" s="580">
        <v>0</v>
      </c>
      <c r="I111" s="70">
        <f>G111*AO111</f>
        <v>0</v>
      </c>
      <c r="J111" s="70">
        <f>G111*AP111</f>
        <v>0</v>
      </c>
      <c r="K111" s="70">
        <f>G111*H111</f>
        <v>0</v>
      </c>
      <c r="L111" s="71" t="s">
        <v>110</v>
      </c>
      <c r="Z111" s="70">
        <f>IF(AQ111="5",BJ111,0)</f>
        <v>0</v>
      </c>
      <c r="AB111" s="70">
        <f>IF(AQ111="1",BH111,0)</f>
        <v>0</v>
      </c>
      <c r="AC111" s="70">
        <f>IF(AQ111="1",BI111,0)</f>
        <v>0</v>
      </c>
      <c r="AD111" s="70">
        <f>IF(AQ111="7",BH111,0)</f>
        <v>0</v>
      </c>
      <c r="AE111" s="70">
        <f>IF(AQ111="7",BI111,0)</f>
        <v>0</v>
      </c>
      <c r="AF111" s="70">
        <f>IF(AQ111="2",BH111,0)</f>
        <v>0</v>
      </c>
      <c r="AG111" s="70">
        <f>IF(AQ111="2",BI111,0)</f>
        <v>0</v>
      </c>
      <c r="AH111" s="70">
        <f>IF(AQ111="0",BJ111,0)</f>
        <v>0</v>
      </c>
      <c r="AI111" s="67" t="s">
        <v>163</v>
      </c>
      <c r="AJ111" s="70">
        <f>IF(AN111=0,K111,0)</f>
        <v>0</v>
      </c>
      <c r="AK111" s="70">
        <f>IF(AN111=15,K111,0)</f>
        <v>0</v>
      </c>
      <c r="AL111" s="70">
        <f>IF(AN111=21,K111,0)</f>
        <v>0</v>
      </c>
      <c r="AN111" s="70">
        <v>21</v>
      </c>
      <c r="AO111" s="70">
        <f>H111*0.0106885245901639</f>
        <v>0</v>
      </c>
      <c r="AP111" s="70">
        <f>H111*(1-0.0106885245901639)</f>
        <v>0</v>
      </c>
      <c r="AQ111" s="71" t="s">
        <v>124</v>
      </c>
      <c r="AV111" s="70">
        <f>AW111+AX111</f>
        <v>0</v>
      </c>
      <c r="AW111" s="70">
        <f>G111*AO111</f>
        <v>0</v>
      </c>
      <c r="AX111" s="70">
        <f>G111*AP111</f>
        <v>0</v>
      </c>
      <c r="AY111" s="71" t="s">
        <v>133</v>
      </c>
      <c r="AZ111" s="71" t="s">
        <v>299</v>
      </c>
      <c r="BA111" s="67" t="s">
        <v>294</v>
      </c>
      <c r="BC111" s="70">
        <f>AW111+AX111</f>
        <v>0</v>
      </c>
      <c r="BD111" s="70">
        <f>H111/(100-BE111)*100</f>
        <v>0</v>
      </c>
      <c r="BE111" s="70">
        <v>0</v>
      </c>
      <c r="BF111" s="70">
        <f>111</f>
        <v>111</v>
      </c>
      <c r="BH111" s="70">
        <f>G111*AO111</f>
        <v>0</v>
      </c>
      <c r="BI111" s="70">
        <f>G111*AP111</f>
        <v>0</v>
      </c>
      <c r="BJ111" s="70">
        <f>G111*H111</f>
        <v>0</v>
      </c>
    </row>
    <row r="112" spans="2:12" ht="12.75" customHeight="1">
      <c r="B112" s="75" t="s">
        <v>67</v>
      </c>
      <c r="C112" s="725" t="s">
        <v>300</v>
      </c>
      <c r="D112" s="726"/>
      <c r="E112" s="726"/>
      <c r="F112" s="726"/>
      <c r="G112" s="726"/>
      <c r="H112" s="726"/>
      <c r="I112" s="726"/>
      <c r="J112" s="726"/>
      <c r="K112" s="726"/>
      <c r="L112" s="726"/>
    </row>
    <row r="113" spans="1:62" ht="15">
      <c r="A113" s="69" t="s">
        <v>301</v>
      </c>
      <c r="B113" s="69" t="s">
        <v>137</v>
      </c>
      <c r="C113" s="696" t="s">
        <v>138</v>
      </c>
      <c r="D113" s="693"/>
      <c r="E113" s="693"/>
      <c r="F113" s="69" t="s">
        <v>132</v>
      </c>
      <c r="G113" s="70">
        <v>0.1</v>
      </c>
      <c r="H113" s="580">
        <v>0</v>
      </c>
      <c r="I113" s="70">
        <f>G113*AO113</f>
        <v>0</v>
      </c>
      <c r="J113" s="70">
        <f>G113*AP113</f>
        <v>0</v>
      </c>
      <c r="K113" s="70">
        <f>G113*H113</f>
        <v>0</v>
      </c>
      <c r="L113" s="71" t="s">
        <v>110</v>
      </c>
      <c r="Z113" s="70">
        <f>IF(AQ113="5",BJ113,0)</f>
        <v>0</v>
      </c>
      <c r="AB113" s="70">
        <f>IF(AQ113="1",BH113,0)</f>
        <v>0</v>
      </c>
      <c r="AC113" s="70">
        <f>IF(AQ113="1",BI113,0)</f>
        <v>0</v>
      </c>
      <c r="AD113" s="70">
        <f>IF(AQ113="7",BH113,0)</f>
        <v>0</v>
      </c>
      <c r="AE113" s="70">
        <f>IF(AQ113="7",BI113,0)</f>
        <v>0</v>
      </c>
      <c r="AF113" s="70">
        <f>IF(AQ113="2",BH113,0)</f>
        <v>0</v>
      </c>
      <c r="AG113" s="70">
        <f>IF(AQ113="2",BI113,0)</f>
        <v>0</v>
      </c>
      <c r="AH113" s="70">
        <f>IF(AQ113="0",BJ113,0)</f>
        <v>0</v>
      </c>
      <c r="AI113" s="67" t="s">
        <v>163</v>
      </c>
      <c r="AJ113" s="70">
        <f>IF(AN113=0,K113,0)</f>
        <v>0</v>
      </c>
      <c r="AK113" s="70">
        <f>IF(AN113=15,K113,0)</f>
        <v>0</v>
      </c>
      <c r="AL113" s="70">
        <f>IF(AN113=21,K113,0)</f>
        <v>0</v>
      </c>
      <c r="AN113" s="70">
        <v>21</v>
      </c>
      <c r="AO113" s="70">
        <f>H113*0</f>
        <v>0</v>
      </c>
      <c r="AP113" s="70">
        <f>H113*(1-0)</f>
        <v>0</v>
      </c>
      <c r="AQ113" s="71" t="s">
        <v>124</v>
      </c>
      <c r="AV113" s="70">
        <f>AW113+AX113</f>
        <v>0</v>
      </c>
      <c r="AW113" s="70">
        <f>G113*AO113</f>
        <v>0</v>
      </c>
      <c r="AX113" s="70">
        <f>G113*AP113</f>
        <v>0</v>
      </c>
      <c r="AY113" s="71" t="s">
        <v>133</v>
      </c>
      <c r="AZ113" s="71" t="s">
        <v>299</v>
      </c>
      <c r="BA113" s="67" t="s">
        <v>294</v>
      </c>
      <c r="BC113" s="70">
        <f>AW113+AX113</f>
        <v>0</v>
      </c>
      <c r="BD113" s="70">
        <f>H113/(100-BE113)*100</f>
        <v>0</v>
      </c>
      <c r="BE113" s="70">
        <v>0</v>
      </c>
      <c r="BF113" s="70">
        <f>113</f>
        <v>113</v>
      </c>
      <c r="BH113" s="70">
        <f>G113*AO113</f>
        <v>0</v>
      </c>
      <c r="BI113" s="70">
        <f>G113*AP113</f>
        <v>0</v>
      </c>
      <c r="BJ113" s="70">
        <f>G113*H113</f>
        <v>0</v>
      </c>
    </row>
    <row r="114" spans="1:12" ht="15">
      <c r="A114" s="48"/>
      <c r="B114" s="49"/>
      <c r="C114" s="727" t="s">
        <v>302</v>
      </c>
      <c r="D114" s="728"/>
      <c r="E114" s="728"/>
      <c r="F114" s="48" t="s">
        <v>70</v>
      </c>
      <c r="G114" s="48" t="s">
        <v>70</v>
      </c>
      <c r="H114" s="48" t="s">
        <v>70</v>
      </c>
      <c r="I114" s="50">
        <f>I115+I121+I126+I133+I135</f>
        <v>0</v>
      </c>
      <c r="J114" s="50">
        <f>J115+J121+J126+J133+J135</f>
        <v>0</v>
      </c>
      <c r="K114" s="50">
        <f>K115+K121+K126+K133+K135</f>
        <v>0</v>
      </c>
      <c r="L114" s="51"/>
    </row>
    <row r="115" spans="1:47" ht="15">
      <c r="A115" s="88"/>
      <c r="B115" s="89" t="s">
        <v>103</v>
      </c>
      <c r="C115" s="710" t="s">
        <v>104</v>
      </c>
      <c r="D115" s="711"/>
      <c r="E115" s="711"/>
      <c r="F115" s="88" t="s">
        <v>70</v>
      </c>
      <c r="G115" s="88" t="s">
        <v>70</v>
      </c>
      <c r="H115" s="88" t="s">
        <v>70</v>
      </c>
      <c r="I115" s="90">
        <f>SUM(I116:I119)</f>
        <v>0</v>
      </c>
      <c r="J115" s="90">
        <f>SUM(J116:J119)</f>
        <v>0</v>
      </c>
      <c r="K115" s="90">
        <f>SUM(K116:K119)</f>
        <v>0</v>
      </c>
      <c r="L115" s="91"/>
      <c r="AI115" s="67" t="s">
        <v>166</v>
      </c>
      <c r="AS115" s="68">
        <f>SUM(AJ116:AJ119)</f>
        <v>0</v>
      </c>
      <c r="AT115" s="68">
        <f>SUM(AK116:AK119)</f>
        <v>0</v>
      </c>
      <c r="AU115" s="68">
        <f>SUM(AL116:AL119)</f>
        <v>0</v>
      </c>
    </row>
    <row r="116" spans="1:62" ht="15">
      <c r="A116" s="69" t="s">
        <v>303</v>
      </c>
      <c r="B116" s="69" t="s">
        <v>304</v>
      </c>
      <c r="C116" s="696" t="s">
        <v>305</v>
      </c>
      <c r="D116" s="693"/>
      <c r="E116" s="693"/>
      <c r="F116" s="69" t="s">
        <v>306</v>
      </c>
      <c r="G116" s="70">
        <v>1</v>
      </c>
      <c r="H116" s="580">
        <v>0</v>
      </c>
      <c r="I116" s="70">
        <f>G116*AO116</f>
        <v>0</v>
      </c>
      <c r="J116" s="70">
        <f>G116*AP116</f>
        <v>0</v>
      </c>
      <c r="K116" s="70">
        <f>G116*H116</f>
        <v>0</v>
      </c>
      <c r="L116" s="71"/>
      <c r="Z116" s="70">
        <f>IF(AQ116="5",BJ116,0)</f>
        <v>0</v>
      </c>
      <c r="AB116" s="70">
        <f>IF(AQ116="1",BH116,0)</f>
        <v>0</v>
      </c>
      <c r="AC116" s="70">
        <f>IF(AQ116="1",BI116,0)</f>
        <v>0</v>
      </c>
      <c r="AD116" s="70">
        <f>IF(AQ116="7",BH116,0)</f>
        <v>0</v>
      </c>
      <c r="AE116" s="70">
        <f>IF(AQ116="7",BI116,0)</f>
        <v>0</v>
      </c>
      <c r="AF116" s="70">
        <f>IF(AQ116="2",BH116,0)</f>
        <v>0</v>
      </c>
      <c r="AG116" s="70">
        <f>IF(AQ116="2",BI116,0)</f>
        <v>0</v>
      </c>
      <c r="AH116" s="70">
        <f>IF(AQ116="0",BJ116,0)</f>
        <v>0</v>
      </c>
      <c r="AI116" s="67" t="s">
        <v>166</v>
      </c>
      <c r="AJ116" s="70">
        <f>IF(AN116=0,K116,0)</f>
        <v>0</v>
      </c>
      <c r="AK116" s="70">
        <f>IF(AN116=15,K116,0)</f>
        <v>0</v>
      </c>
      <c r="AL116" s="70">
        <f>IF(AN116=21,K116,0)</f>
        <v>0</v>
      </c>
      <c r="AN116" s="70">
        <v>21</v>
      </c>
      <c r="AO116" s="70">
        <f>H116*1</f>
        <v>0</v>
      </c>
      <c r="AP116" s="70">
        <f>H116*(1-1)</f>
        <v>0</v>
      </c>
      <c r="AQ116" s="71" t="s">
        <v>106</v>
      </c>
      <c r="AV116" s="70">
        <f>AW116+AX116</f>
        <v>0</v>
      </c>
      <c r="AW116" s="70">
        <f>G116*AO116</f>
        <v>0</v>
      </c>
      <c r="AX116" s="70">
        <f>G116*AP116</f>
        <v>0</v>
      </c>
      <c r="AY116" s="71" t="s">
        <v>111</v>
      </c>
      <c r="AZ116" s="71" t="s">
        <v>307</v>
      </c>
      <c r="BA116" s="67" t="s">
        <v>308</v>
      </c>
      <c r="BC116" s="70">
        <f>AW116+AX116</f>
        <v>0</v>
      </c>
      <c r="BD116" s="70">
        <f>H116/(100-BE116)*100</f>
        <v>0</v>
      </c>
      <c r="BE116" s="70">
        <v>0</v>
      </c>
      <c r="BF116" s="70">
        <f>116</f>
        <v>116</v>
      </c>
      <c r="BH116" s="70">
        <f>G116*AO116</f>
        <v>0</v>
      </c>
      <c r="BI116" s="70">
        <f>G116*AP116</f>
        <v>0</v>
      </c>
      <c r="BJ116" s="70">
        <f>G116*H116</f>
        <v>0</v>
      </c>
    </row>
    <row r="117" spans="1:62" ht="15">
      <c r="A117" s="69" t="s">
        <v>309</v>
      </c>
      <c r="B117" s="69" t="s">
        <v>310</v>
      </c>
      <c r="C117" s="696" t="s">
        <v>311</v>
      </c>
      <c r="D117" s="693"/>
      <c r="E117" s="693"/>
      <c r="F117" s="69" t="s">
        <v>312</v>
      </c>
      <c r="G117" s="70">
        <v>1</v>
      </c>
      <c r="H117" s="580">
        <v>0</v>
      </c>
      <c r="I117" s="70">
        <f>G117*AO117</f>
        <v>0</v>
      </c>
      <c r="J117" s="70">
        <f>G117*AP117</f>
        <v>0</v>
      </c>
      <c r="K117" s="70">
        <f>G117*H117</f>
        <v>0</v>
      </c>
      <c r="L117" s="71"/>
      <c r="Z117" s="70">
        <f>IF(AQ117="5",BJ117,0)</f>
        <v>0</v>
      </c>
      <c r="AB117" s="70">
        <f>IF(AQ117="1",BH117,0)</f>
        <v>0</v>
      </c>
      <c r="AC117" s="70">
        <f>IF(AQ117="1",BI117,0)</f>
        <v>0</v>
      </c>
      <c r="AD117" s="70">
        <f>IF(AQ117="7",BH117,0)</f>
        <v>0</v>
      </c>
      <c r="AE117" s="70">
        <f>IF(AQ117="7",BI117,0)</f>
        <v>0</v>
      </c>
      <c r="AF117" s="70">
        <f>IF(AQ117="2",BH117,0)</f>
        <v>0</v>
      </c>
      <c r="AG117" s="70">
        <f>IF(AQ117="2",BI117,0)</f>
        <v>0</v>
      </c>
      <c r="AH117" s="70">
        <f>IF(AQ117="0",BJ117,0)</f>
        <v>0</v>
      </c>
      <c r="AI117" s="67" t="s">
        <v>166</v>
      </c>
      <c r="AJ117" s="70">
        <f>IF(AN117=0,K117,0)</f>
        <v>0</v>
      </c>
      <c r="AK117" s="70">
        <f>IF(AN117=15,K117,0)</f>
        <v>0</v>
      </c>
      <c r="AL117" s="70">
        <f>IF(AN117=21,K117,0)</f>
        <v>0</v>
      </c>
      <c r="AN117" s="70">
        <v>21</v>
      </c>
      <c r="AO117" s="70">
        <f>H117*0</f>
        <v>0</v>
      </c>
      <c r="AP117" s="70">
        <f>H117*(1-0)</f>
        <v>0</v>
      </c>
      <c r="AQ117" s="71" t="s">
        <v>106</v>
      </c>
      <c r="AV117" s="70">
        <f>AW117+AX117</f>
        <v>0</v>
      </c>
      <c r="AW117" s="70">
        <f>G117*AO117</f>
        <v>0</v>
      </c>
      <c r="AX117" s="70">
        <f>G117*AP117</f>
        <v>0</v>
      </c>
      <c r="AY117" s="71" t="s">
        <v>111</v>
      </c>
      <c r="AZ117" s="71" t="s">
        <v>307</v>
      </c>
      <c r="BA117" s="67" t="s">
        <v>308</v>
      </c>
      <c r="BC117" s="70">
        <f>AW117+AX117</f>
        <v>0</v>
      </c>
      <c r="BD117" s="70">
        <f>H117/(100-BE117)*100</f>
        <v>0</v>
      </c>
      <c r="BE117" s="70">
        <v>0</v>
      </c>
      <c r="BF117" s="70">
        <f>117</f>
        <v>117</v>
      </c>
      <c r="BH117" s="70">
        <f>G117*AO117</f>
        <v>0</v>
      </c>
      <c r="BI117" s="70">
        <f>G117*AP117</f>
        <v>0</v>
      </c>
      <c r="BJ117" s="70">
        <f>G117*H117</f>
        <v>0</v>
      </c>
    </row>
    <row r="118" spans="2:12" ht="12.75" customHeight="1">
      <c r="B118" s="75" t="s">
        <v>67</v>
      </c>
      <c r="C118" s="725" t="s">
        <v>313</v>
      </c>
      <c r="D118" s="726"/>
      <c r="E118" s="726"/>
      <c r="F118" s="726"/>
      <c r="G118" s="726"/>
      <c r="H118" s="726"/>
      <c r="I118" s="726"/>
      <c r="J118" s="726"/>
      <c r="K118" s="726"/>
      <c r="L118" s="726"/>
    </row>
    <row r="119" spans="1:62" ht="15">
      <c r="A119" s="69" t="s">
        <v>314</v>
      </c>
      <c r="B119" s="69" t="s">
        <v>280</v>
      </c>
      <c r="C119" s="696" t="s">
        <v>315</v>
      </c>
      <c r="D119" s="693"/>
      <c r="E119" s="693"/>
      <c r="F119" s="69" t="s">
        <v>253</v>
      </c>
      <c r="G119" s="70">
        <v>191.6</v>
      </c>
      <c r="H119" s="580">
        <v>0</v>
      </c>
      <c r="I119" s="70">
        <f>G119*AO119</f>
        <v>0</v>
      </c>
      <c r="J119" s="70">
        <f>G119*AP119</f>
        <v>0</v>
      </c>
      <c r="K119" s="70">
        <f>G119*H119</f>
        <v>0</v>
      </c>
      <c r="L119" s="71" t="s">
        <v>120</v>
      </c>
      <c r="Z119" s="70">
        <f>IF(AQ119="5",BJ119,0)</f>
        <v>0</v>
      </c>
      <c r="AB119" s="70">
        <f>IF(AQ119="1",BH119,0)</f>
        <v>0</v>
      </c>
      <c r="AC119" s="70">
        <f>IF(AQ119="1",BI119,0)</f>
        <v>0</v>
      </c>
      <c r="AD119" s="70">
        <f>IF(AQ119="7",BH119,0)</f>
        <v>0</v>
      </c>
      <c r="AE119" s="70">
        <f>IF(AQ119="7",BI119,0)</f>
        <v>0</v>
      </c>
      <c r="AF119" s="70">
        <f>IF(AQ119="2",BH119,0)</f>
        <v>0</v>
      </c>
      <c r="AG119" s="70">
        <f>IF(AQ119="2",BI119,0)</f>
        <v>0</v>
      </c>
      <c r="AH119" s="70">
        <f>IF(AQ119="0",BJ119,0)</f>
        <v>0</v>
      </c>
      <c r="AI119" s="67" t="s">
        <v>166</v>
      </c>
      <c r="AJ119" s="70">
        <f>IF(AN119=0,K119,0)</f>
        <v>0</v>
      </c>
      <c r="AK119" s="70">
        <f>IF(AN119=15,K119,0)</f>
        <v>0</v>
      </c>
      <c r="AL119" s="70">
        <f>IF(AN119=21,K119,0)</f>
        <v>0</v>
      </c>
      <c r="AN119" s="70">
        <v>21</v>
      </c>
      <c r="AO119" s="70">
        <f>H119*0</f>
        <v>0</v>
      </c>
      <c r="AP119" s="70">
        <f>H119*(1-0)</f>
        <v>0</v>
      </c>
      <c r="AQ119" s="71" t="s">
        <v>106</v>
      </c>
      <c r="AV119" s="70">
        <f>AW119+AX119</f>
        <v>0</v>
      </c>
      <c r="AW119" s="70">
        <f>G119*AO119</f>
        <v>0</v>
      </c>
      <c r="AX119" s="70">
        <f>G119*AP119</f>
        <v>0</v>
      </c>
      <c r="AY119" s="71" t="s">
        <v>111</v>
      </c>
      <c r="AZ119" s="71" t="s">
        <v>307</v>
      </c>
      <c r="BA119" s="67" t="s">
        <v>308</v>
      </c>
      <c r="BC119" s="70">
        <f>AW119+AX119</f>
        <v>0</v>
      </c>
      <c r="BD119" s="70">
        <f>H119/(100-BE119)*100</f>
        <v>0</v>
      </c>
      <c r="BE119" s="70">
        <v>0</v>
      </c>
      <c r="BF119" s="70">
        <f>119</f>
        <v>119</v>
      </c>
      <c r="BH119" s="70">
        <f>G119*AO119</f>
        <v>0</v>
      </c>
      <c r="BI119" s="70">
        <f>G119*AP119</f>
        <v>0</v>
      </c>
      <c r="BJ119" s="70">
        <f>G119*H119</f>
        <v>0</v>
      </c>
    </row>
    <row r="120" spans="2:12" ht="77.25" customHeight="1">
      <c r="B120" s="75" t="s">
        <v>67</v>
      </c>
      <c r="C120" s="725" t="s">
        <v>316</v>
      </c>
      <c r="D120" s="726"/>
      <c r="E120" s="726"/>
      <c r="F120" s="726"/>
      <c r="G120" s="726"/>
      <c r="H120" s="726"/>
      <c r="I120" s="726"/>
      <c r="J120" s="726"/>
      <c r="K120" s="726"/>
      <c r="L120" s="726"/>
    </row>
    <row r="121" spans="1:47" ht="15">
      <c r="A121" s="88"/>
      <c r="B121" s="89" t="s">
        <v>169</v>
      </c>
      <c r="C121" s="710" t="s">
        <v>278</v>
      </c>
      <c r="D121" s="711"/>
      <c r="E121" s="711"/>
      <c r="F121" s="88" t="s">
        <v>70</v>
      </c>
      <c r="G121" s="88" t="s">
        <v>70</v>
      </c>
      <c r="H121" s="88" t="s">
        <v>70</v>
      </c>
      <c r="I121" s="90">
        <f>SUM(I122:I125)</f>
        <v>0</v>
      </c>
      <c r="J121" s="90">
        <f>SUM(J122:J125)</f>
        <v>0</v>
      </c>
      <c r="K121" s="90">
        <f>SUM(K122:K125)</f>
        <v>0</v>
      </c>
      <c r="L121" s="91"/>
      <c r="AI121" s="67" t="s">
        <v>166</v>
      </c>
      <c r="AS121" s="68">
        <f>SUM(AJ122:AJ125)</f>
        <v>0</v>
      </c>
      <c r="AT121" s="68">
        <f>SUM(AK122:AK125)</f>
        <v>0</v>
      </c>
      <c r="AU121" s="68">
        <f>SUM(AL122:AL125)</f>
        <v>0</v>
      </c>
    </row>
    <row r="122" spans="1:62" ht="15">
      <c r="A122" s="69" t="s">
        <v>317</v>
      </c>
      <c r="B122" s="69" t="s">
        <v>318</v>
      </c>
      <c r="C122" s="696" t="s">
        <v>319</v>
      </c>
      <c r="D122" s="693"/>
      <c r="E122" s="693"/>
      <c r="F122" s="69" t="s">
        <v>109</v>
      </c>
      <c r="G122" s="70">
        <v>859.4</v>
      </c>
      <c r="H122" s="580">
        <v>0</v>
      </c>
      <c r="I122" s="70">
        <f>G122*AO122</f>
        <v>0</v>
      </c>
      <c r="J122" s="70">
        <f>G122*AP122</f>
        <v>0</v>
      </c>
      <c r="K122" s="70">
        <f>G122*H122</f>
        <v>0</v>
      </c>
      <c r="L122" s="71" t="s">
        <v>282</v>
      </c>
      <c r="Z122" s="70">
        <f>IF(AQ122="5",BJ122,0)</f>
        <v>0</v>
      </c>
      <c r="AB122" s="70">
        <f>IF(AQ122="1",BH122,0)</f>
        <v>0</v>
      </c>
      <c r="AC122" s="70">
        <f>IF(AQ122="1",BI122,0)</f>
        <v>0</v>
      </c>
      <c r="AD122" s="70">
        <f>IF(AQ122="7",BH122,0)</f>
        <v>0</v>
      </c>
      <c r="AE122" s="70">
        <f>IF(AQ122="7",BI122,0)</f>
        <v>0</v>
      </c>
      <c r="AF122" s="70">
        <f>IF(AQ122="2",BH122,0)</f>
        <v>0</v>
      </c>
      <c r="AG122" s="70">
        <f>IF(AQ122="2",BI122,0)</f>
        <v>0</v>
      </c>
      <c r="AH122" s="70">
        <f>IF(AQ122="0",BJ122,0)</f>
        <v>0</v>
      </c>
      <c r="AI122" s="67" t="s">
        <v>166</v>
      </c>
      <c r="AJ122" s="70">
        <f>IF(AN122=0,K122,0)</f>
        <v>0</v>
      </c>
      <c r="AK122" s="70">
        <f>IF(AN122=15,K122,0)</f>
        <v>0</v>
      </c>
      <c r="AL122" s="70">
        <f>IF(AN122=21,K122,0)</f>
        <v>0</v>
      </c>
      <c r="AN122" s="70">
        <v>21</v>
      </c>
      <c r="AO122" s="70">
        <f>H122*0</f>
        <v>0</v>
      </c>
      <c r="AP122" s="70">
        <f>H122*(1-0)</f>
        <v>0</v>
      </c>
      <c r="AQ122" s="71" t="s">
        <v>106</v>
      </c>
      <c r="AV122" s="70">
        <f>AW122+AX122</f>
        <v>0</v>
      </c>
      <c r="AW122" s="70">
        <f>G122*AO122</f>
        <v>0</v>
      </c>
      <c r="AX122" s="70">
        <f>G122*AP122</f>
        <v>0</v>
      </c>
      <c r="AY122" s="71" t="s">
        <v>283</v>
      </c>
      <c r="AZ122" s="71" t="s">
        <v>307</v>
      </c>
      <c r="BA122" s="67" t="s">
        <v>308</v>
      </c>
      <c r="BC122" s="70">
        <f>AW122+AX122</f>
        <v>0</v>
      </c>
      <c r="BD122" s="70">
        <f>H122/(100-BE122)*100</f>
        <v>0</v>
      </c>
      <c r="BE122" s="70">
        <v>0</v>
      </c>
      <c r="BF122" s="70">
        <f>122</f>
        <v>122</v>
      </c>
      <c r="BH122" s="70">
        <f>G122*AO122</f>
        <v>0</v>
      </c>
      <c r="BI122" s="70">
        <f>G122*AP122</f>
        <v>0</v>
      </c>
      <c r="BJ122" s="70">
        <f>G122*H122</f>
        <v>0</v>
      </c>
    </row>
    <row r="123" spans="2:12" ht="12.75" customHeight="1">
      <c r="B123" s="75" t="s">
        <v>67</v>
      </c>
      <c r="C123" s="725" t="s">
        <v>320</v>
      </c>
      <c r="D123" s="726"/>
      <c r="E123" s="726"/>
      <c r="F123" s="726"/>
      <c r="G123" s="726"/>
      <c r="H123" s="726"/>
      <c r="I123" s="726"/>
      <c r="J123" s="726"/>
      <c r="K123" s="726"/>
      <c r="L123" s="726"/>
    </row>
    <row r="124" spans="1:62" ht="15">
      <c r="A124" s="69" t="s">
        <v>321</v>
      </c>
      <c r="B124" s="69" t="s">
        <v>322</v>
      </c>
      <c r="C124" s="696" t="s">
        <v>323</v>
      </c>
      <c r="D124" s="693"/>
      <c r="E124" s="693"/>
      <c r="F124" s="69" t="s">
        <v>253</v>
      </c>
      <c r="G124" s="70">
        <v>233.7</v>
      </c>
      <c r="H124" s="580">
        <v>0</v>
      </c>
      <c r="I124" s="70">
        <f>G124*AO124</f>
        <v>0</v>
      </c>
      <c r="J124" s="70">
        <f>G124*AP124</f>
        <v>0</v>
      </c>
      <c r="K124" s="70">
        <f>G124*H124</f>
        <v>0</v>
      </c>
      <c r="L124" s="71" t="s">
        <v>120</v>
      </c>
      <c r="Z124" s="70">
        <f>IF(AQ124="5",BJ124,0)</f>
        <v>0</v>
      </c>
      <c r="AB124" s="70">
        <f>IF(AQ124="1",BH124,0)</f>
        <v>0</v>
      </c>
      <c r="AC124" s="70">
        <f>IF(AQ124="1",BI124,0)</f>
        <v>0</v>
      </c>
      <c r="AD124" s="70">
        <f>IF(AQ124="7",BH124,0)</f>
        <v>0</v>
      </c>
      <c r="AE124" s="70">
        <f>IF(AQ124="7",BI124,0)</f>
        <v>0</v>
      </c>
      <c r="AF124" s="70">
        <f>IF(AQ124="2",BH124,0)</f>
        <v>0</v>
      </c>
      <c r="AG124" s="70">
        <f>IF(AQ124="2",BI124,0)</f>
        <v>0</v>
      </c>
      <c r="AH124" s="70">
        <f>IF(AQ124="0",BJ124,0)</f>
        <v>0</v>
      </c>
      <c r="AI124" s="67" t="s">
        <v>166</v>
      </c>
      <c r="AJ124" s="70">
        <f>IF(AN124=0,K124,0)</f>
        <v>0</v>
      </c>
      <c r="AK124" s="70">
        <f>IF(AN124=15,K124,0)</f>
        <v>0</v>
      </c>
      <c r="AL124" s="70">
        <f>IF(AN124=21,K124,0)</f>
        <v>0</v>
      </c>
      <c r="AN124" s="70">
        <v>21</v>
      </c>
      <c r="AO124" s="70">
        <f>H124*0</f>
        <v>0</v>
      </c>
      <c r="AP124" s="70">
        <f>H124*(1-0)</f>
        <v>0</v>
      </c>
      <c r="AQ124" s="71" t="s">
        <v>106</v>
      </c>
      <c r="AV124" s="70">
        <f>AW124+AX124</f>
        <v>0</v>
      </c>
      <c r="AW124" s="70">
        <f>G124*AO124</f>
        <v>0</v>
      </c>
      <c r="AX124" s="70">
        <f>G124*AP124</f>
        <v>0</v>
      </c>
      <c r="AY124" s="71" t="s">
        <v>283</v>
      </c>
      <c r="AZ124" s="71" t="s">
        <v>307</v>
      </c>
      <c r="BA124" s="67" t="s">
        <v>308</v>
      </c>
      <c r="BC124" s="70">
        <f>AW124+AX124</f>
        <v>0</v>
      </c>
      <c r="BD124" s="70">
        <f>H124/(100-BE124)*100</f>
        <v>0</v>
      </c>
      <c r="BE124" s="70">
        <v>0</v>
      </c>
      <c r="BF124" s="70">
        <f>124</f>
        <v>124</v>
      </c>
      <c r="BH124" s="70">
        <f>G124*AO124</f>
        <v>0</v>
      </c>
      <c r="BI124" s="70">
        <f>G124*AP124</f>
        <v>0</v>
      </c>
      <c r="BJ124" s="70">
        <f>G124*H124</f>
        <v>0</v>
      </c>
    </row>
    <row r="125" spans="1:62" ht="15">
      <c r="A125" s="69" t="s">
        <v>324</v>
      </c>
      <c r="B125" s="69" t="s">
        <v>325</v>
      </c>
      <c r="C125" s="696" t="s">
        <v>326</v>
      </c>
      <c r="D125" s="693"/>
      <c r="E125" s="693"/>
      <c r="F125" s="69" t="s">
        <v>253</v>
      </c>
      <c r="G125" s="70">
        <v>213.2</v>
      </c>
      <c r="H125" s="580">
        <v>0</v>
      </c>
      <c r="I125" s="70">
        <f>G125*AO125</f>
        <v>0</v>
      </c>
      <c r="J125" s="70">
        <f>G125*AP125</f>
        <v>0</v>
      </c>
      <c r="K125" s="70">
        <f>G125*H125</f>
        <v>0</v>
      </c>
      <c r="L125" s="71" t="s">
        <v>282</v>
      </c>
      <c r="Z125" s="70">
        <f>IF(AQ125="5",BJ125,0)</f>
        <v>0</v>
      </c>
      <c r="AB125" s="70">
        <f>IF(AQ125="1",BH125,0)</f>
        <v>0</v>
      </c>
      <c r="AC125" s="70">
        <f>IF(AQ125="1",BI125,0)</f>
        <v>0</v>
      </c>
      <c r="AD125" s="70">
        <f>IF(AQ125="7",BH125,0)</f>
        <v>0</v>
      </c>
      <c r="AE125" s="70">
        <f>IF(AQ125="7",BI125,0)</f>
        <v>0</v>
      </c>
      <c r="AF125" s="70">
        <f>IF(AQ125="2",BH125,0)</f>
        <v>0</v>
      </c>
      <c r="AG125" s="70">
        <f>IF(AQ125="2",BI125,0)</f>
        <v>0</v>
      </c>
      <c r="AH125" s="70">
        <f>IF(AQ125="0",BJ125,0)</f>
        <v>0</v>
      </c>
      <c r="AI125" s="67" t="s">
        <v>166</v>
      </c>
      <c r="AJ125" s="70">
        <f>IF(AN125=0,K125,0)</f>
        <v>0</v>
      </c>
      <c r="AK125" s="70">
        <f>IF(AN125=15,K125,0)</f>
        <v>0</v>
      </c>
      <c r="AL125" s="70">
        <f>IF(AN125=21,K125,0)</f>
        <v>0</v>
      </c>
      <c r="AN125" s="70">
        <v>21</v>
      </c>
      <c r="AO125" s="70">
        <f>H125*0</f>
        <v>0</v>
      </c>
      <c r="AP125" s="70">
        <f>H125*(1-0)</f>
        <v>0</v>
      </c>
      <c r="AQ125" s="71" t="s">
        <v>106</v>
      </c>
      <c r="AV125" s="70">
        <f>AW125+AX125</f>
        <v>0</v>
      </c>
      <c r="AW125" s="70">
        <f>G125*AO125</f>
        <v>0</v>
      </c>
      <c r="AX125" s="70">
        <f>G125*AP125</f>
        <v>0</v>
      </c>
      <c r="AY125" s="71" t="s">
        <v>283</v>
      </c>
      <c r="AZ125" s="71" t="s">
        <v>307</v>
      </c>
      <c r="BA125" s="67" t="s">
        <v>308</v>
      </c>
      <c r="BC125" s="70">
        <f>AW125+AX125</f>
        <v>0</v>
      </c>
      <c r="BD125" s="70">
        <f>H125/(100-BE125)*100</f>
        <v>0</v>
      </c>
      <c r="BE125" s="70">
        <v>0</v>
      </c>
      <c r="BF125" s="70">
        <f>125</f>
        <v>125</v>
      </c>
      <c r="BH125" s="70">
        <f>G125*AO125</f>
        <v>0</v>
      </c>
      <c r="BI125" s="70">
        <f>G125*AP125</f>
        <v>0</v>
      </c>
      <c r="BJ125" s="70">
        <f>G125*H125</f>
        <v>0</v>
      </c>
    </row>
    <row r="126" spans="1:47" ht="15">
      <c r="A126" s="88"/>
      <c r="B126" s="89" t="s">
        <v>314</v>
      </c>
      <c r="C126" s="710" t="s">
        <v>327</v>
      </c>
      <c r="D126" s="711"/>
      <c r="E126" s="711"/>
      <c r="F126" s="88" t="s">
        <v>70</v>
      </c>
      <c r="G126" s="88" t="s">
        <v>70</v>
      </c>
      <c r="H126" s="88" t="s">
        <v>70</v>
      </c>
      <c r="I126" s="90">
        <f>SUM(I127:I132)</f>
        <v>0</v>
      </c>
      <c r="J126" s="90">
        <f>SUM(J127:J132)</f>
        <v>0</v>
      </c>
      <c r="K126" s="90">
        <f>SUM(K127:K132)</f>
        <v>0</v>
      </c>
      <c r="L126" s="91"/>
      <c r="AI126" s="67" t="s">
        <v>166</v>
      </c>
      <c r="AS126" s="68">
        <f>SUM(AJ127:AJ132)</f>
        <v>0</v>
      </c>
      <c r="AT126" s="68">
        <f>SUM(AK127:AK132)</f>
        <v>0</v>
      </c>
      <c r="AU126" s="68">
        <f>SUM(AL127:AL132)</f>
        <v>0</v>
      </c>
    </row>
    <row r="127" spans="1:62" ht="15">
      <c r="A127" s="69" t="s">
        <v>328</v>
      </c>
      <c r="B127" s="69" t="s">
        <v>329</v>
      </c>
      <c r="C127" s="696" t="s">
        <v>330</v>
      </c>
      <c r="D127" s="693"/>
      <c r="E127" s="693"/>
      <c r="F127" s="69" t="s">
        <v>253</v>
      </c>
      <c r="G127" s="70">
        <v>434.1</v>
      </c>
      <c r="H127" s="580">
        <v>0</v>
      </c>
      <c r="I127" s="70">
        <f>G127*AO127</f>
        <v>0</v>
      </c>
      <c r="J127" s="70">
        <f>G127*AP127</f>
        <v>0</v>
      </c>
      <c r="K127" s="70">
        <f>G127*H127</f>
        <v>0</v>
      </c>
      <c r="L127" s="71" t="s">
        <v>282</v>
      </c>
      <c r="Z127" s="70">
        <f>IF(AQ127="5",BJ127,0)</f>
        <v>0</v>
      </c>
      <c r="AB127" s="70">
        <f>IF(AQ127="1",BH127,0)</f>
        <v>0</v>
      </c>
      <c r="AC127" s="70">
        <f>IF(AQ127="1",BI127,0)</f>
        <v>0</v>
      </c>
      <c r="AD127" s="70">
        <f>IF(AQ127="7",BH127,0)</f>
        <v>0</v>
      </c>
      <c r="AE127" s="70">
        <f>IF(AQ127="7",BI127,0)</f>
        <v>0</v>
      </c>
      <c r="AF127" s="70">
        <f>IF(AQ127="2",BH127,0)</f>
        <v>0</v>
      </c>
      <c r="AG127" s="70">
        <f>IF(AQ127="2",BI127,0)</f>
        <v>0</v>
      </c>
      <c r="AH127" s="70">
        <f>IF(AQ127="0",BJ127,0)</f>
        <v>0</v>
      </c>
      <c r="AI127" s="67" t="s">
        <v>166</v>
      </c>
      <c r="AJ127" s="70">
        <f>IF(AN127=0,K127,0)</f>
        <v>0</v>
      </c>
      <c r="AK127" s="70">
        <f>IF(AN127=15,K127,0)</f>
        <v>0</v>
      </c>
      <c r="AL127" s="70">
        <f>IF(AN127=21,K127,0)</f>
        <v>0</v>
      </c>
      <c r="AN127" s="70">
        <v>21</v>
      </c>
      <c r="AO127" s="70">
        <f>H127*0</f>
        <v>0</v>
      </c>
      <c r="AP127" s="70">
        <f>H127*(1-0)</f>
        <v>0</v>
      </c>
      <c r="AQ127" s="71" t="s">
        <v>106</v>
      </c>
      <c r="AV127" s="70">
        <f>AW127+AX127</f>
        <v>0</v>
      </c>
      <c r="AW127" s="70">
        <f>G127*AO127</f>
        <v>0</v>
      </c>
      <c r="AX127" s="70">
        <f>G127*AP127</f>
        <v>0</v>
      </c>
      <c r="AY127" s="71" t="s">
        <v>331</v>
      </c>
      <c r="AZ127" s="71" t="s">
        <v>332</v>
      </c>
      <c r="BA127" s="67" t="s">
        <v>308</v>
      </c>
      <c r="BC127" s="70">
        <f>AW127+AX127</f>
        <v>0</v>
      </c>
      <c r="BD127" s="70">
        <f>H127/(100-BE127)*100</f>
        <v>0</v>
      </c>
      <c r="BE127" s="70">
        <v>0</v>
      </c>
      <c r="BF127" s="70">
        <f>127</f>
        <v>127</v>
      </c>
      <c r="BH127" s="70">
        <f>G127*AO127</f>
        <v>0</v>
      </c>
      <c r="BI127" s="70">
        <f>G127*AP127</f>
        <v>0</v>
      </c>
      <c r="BJ127" s="70">
        <f>G127*H127</f>
        <v>0</v>
      </c>
    </row>
    <row r="128" spans="2:12" ht="38.7" customHeight="1">
      <c r="B128" s="75" t="s">
        <v>67</v>
      </c>
      <c r="C128" s="725" t="s">
        <v>333</v>
      </c>
      <c r="D128" s="726"/>
      <c r="E128" s="726"/>
      <c r="F128" s="726"/>
      <c r="G128" s="726"/>
      <c r="H128" s="726"/>
      <c r="I128" s="726"/>
      <c r="J128" s="726"/>
      <c r="K128" s="726"/>
      <c r="L128" s="726"/>
    </row>
    <row r="129" spans="1:62" ht="15">
      <c r="A129" s="72" t="s">
        <v>334</v>
      </c>
      <c r="B129" s="72" t="s">
        <v>335</v>
      </c>
      <c r="C129" s="712" t="s">
        <v>336</v>
      </c>
      <c r="D129" s="693"/>
      <c r="E129" s="713"/>
      <c r="F129" s="72" t="s">
        <v>337</v>
      </c>
      <c r="G129" s="73">
        <v>10080</v>
      </c>
      <c r="H129" s="581">
        <v>0</v>
      </c>
      <c r="I129" s="73">
        <f>G129*AO129</f>
        <v>0</v>
      </c>
      <c r="J129" s="73">
        <f>G129*AP129</f>
        <v>0</v>
      </c>
      <c r="K129" s="73">
        <f>G129*H129</f>
        <v>0</v>
      </c>
      <c r="L129" s="74"/>
      <c r="Z129" s="70">
        <f>IF(AQ129="5",BJ129,0)</f>
        <v>0</v>
      </c>
      <c r="AB129" s="70">
        <f>IF(AQ129="1",BH129,0)</f>
        <v>0</v>
      </c>
      <c r="AC129" s="70">
        <f>IF(AQ129="1",BI129,0)</f>
        <v>0</v>
      </c>
      <c r="AD129" s="70">
        <f>IF(AQ129="7",BH129,0)</f>
        <v>0</v>
      </c>
      <c r="AE129" s="70">
        <f>IF(AQ129="7",BI129,0)</f>
        <v>0</v>
      </c>
      <c r="AF129" s="70">
        <f>IF(AQ129="2",BH129,0)</f>
        <v>0</v>
      </c>
      <c r="AG129" s="70">
        <f>IF(AQ129="2",BI129,0)</f>
        <v>0</v>
      </c>
      <c r="AH129" s="70">
        <f>IF(AQ129="0",BJ129,0)</f>
        <v>0</v>
      </c>
      <c r="AI129" s="67" t="s">
        <v>166</v>
      </c>
      <c r="AJ129" s="70">
        <f>IF(AN129=0,K129,0)</f>
        <v>0</v>
      </c>
      <c r="AK129" s="70">
        <f>IF(AN129=15,K129,0)</f>
        <v>0</v>
      </c>
      <c r="AL129" s="70">
        <f>IF(AN129=21,K129,0)</f>
        <v>0</v>
      </c>
      <c r="AN129" s="70">
        <v>21</v>
      </c>
      <c r="AO129" s="70">
        <f>H129*0</f>
        <v>0</v>
      </c>
      <c r="AP129" s="70">
        <f>H129*(1-0)</f>
        <v>0</v>
      </c>
      <c r="AQ129" s="71" t="s">
        <v>124</v>
      </c>
      <c r="AV129" s="70">
        <f>AW129+AX129</f>
        <v>0</v>
      </c>
      <c r="AW129" s="70">
        <f>G129*AO129</f>
        <v>0</v>
      </c>
      <c r="AX129" s="70">
        <f>G129*AP129</f>
        <v>0</v>
      </c>
      <c r="AY129" s="71" t="s">
        <v>331</v>
      </c>
      <c r="AZ129" s="71" t="s">
        <v>332</v>
      </c>
      <c r="BA129" s="67" t="s">
        <v>308</v>
      </c>
      <c r="BC129" s="70">
        <f>AW129+AX129</f>
        <v>0</v>
      </c>
      <c r="BD129" s="70">
        <f>H129/(100-BE129)*100</f>
        <v>0</v>
      </c>
      <c r="BE129" s="70">
        <v>0</v>
      </c>
      <c r="BF129" s="70">
        <f>129</f>
        <v>129</v>
      </c>
      <c r="BH129" s="70">
        <f>G129*AO129</f>
        <v>0</v>
      </c>
      <c r="BI129" s="70">
        <f>G129*AP129</f>
        <v>0</v>
      </c>
      <c r="BJ129" s="70">
        <f>G129*H129</f>
        <v>0</v>
      </c>
    </row>
    <row r="130" spans="2:12" ht="38.7" customHeight="1">
      <c r="B130" s="75" t="s">
        <v>67</v>
      </c>
      <c r="C130" s="725" t="s">
        <v>338</v>
      </c>
      <c r="D130" s="726"/>
      <c r="E130" s="726"/>
      <c r="F130" s="726"/>
      <c r="G130" s="726"/>
      <c r="H130" s="726"/>
      <c r="I130" s="726"/>
      <c r="J130" s="726"/>
      <c r="K130" s="726"/>
      <c r="L130" s="726"/>
    </row>
    <row r="131" spans="1:62" ht="15">
      <c r="A131" s="69" t="s">
        <v>339</v>
      </c>
      <c r="B131" s="69" t="s">
        <v>340</v>
      </c>
      <c r="C131" s="696" t="s">
        <v>341</v>
      </c>
      <c r="D131" s="693"/>
      <c r="E131" s="693"/>
      <c r="F131" s="69" t="s">
        <v>109</v>
      </c>
      <c r="G131" s="70">
        <v>763.8</v>
      </c>
      <c r="H131" s="580">
        <v>0</v>
      </c>
      <c r="I131" s="70">
        <f>G131*AO131</f>
        <v>0</v>
      </c>
      <c r="J131" s="70">
        <f>G131*AP131</f>
        <v>0</v>
      </c>
      <c r="K131" s="70">
        <f>G131*H131</f>
        <v>0</v>
      </c>
      <c r="L131" s="71" t="s">
        <v>120</v>
      </c>
      <c r="Z131" s="70">
        <f>IF(AQ131="5",BJ131,0)</f>
        <v>0</v>
      </c>
      <c r="AB131" s="70">
        <f>IF(AQ131="1",BH131,0)</f>
        <v>0</v>
      </c>
      <c r="AC131" s="70">
        <f>IF(AQ131="1",BI131,0)</f>
        <v>0</v>
      </c>
      <c r="AD131" s="70">
        <f>IF(AQ131="7",BH131,0)</f>
        <v>0</v>
      </c>
      <c r="AE131" s="70">
        <f>IF(AQ131="7",BI131,0)</f>
        <v>0</v>
      </c>
      <c r="AF131" s="70">
        <f>IF(AQ131="2",BH131,0)</f>
        <v>0</v>
      </c>
      <c r="AG131" s="70">
        <f>IF(AQ131="2",BI131,0)</f>
        <v>0</v>
      </c>
      <c r="AH131" s="70">
        <f>IF(AQ131="0",BJ131,0)</f>
        <v>0</v>
      </c>
      <c r="AI131" s="67" t="s">
        <v>166</v>
      </c>
      <c r="AJ131" s="70">
        <f>IF(AN131=0,K131,0)</f>
        <v>0</v>
      </c>
      <c r="AK131" s="70">
        <f>IF(AN131=15,K131,0)</f>
        <v>0</v>
      </c>
      <c r="AL131" s="70">
        <f>IF(AN131=21,K131,0)</f>
        <v>0</v>
      </c>
      <c r="AN131" s="70">
        <v>21</v>
      </c>
      <c r="AO131" s="70">
        <f>H131*0.0709181812882927</f>
        <v>0</v>
      </c>
      <c r="AP131" s="70">
        <f>H131*(1-0.0709181812882927)</f>
        <v>0</v>
      </c>
      <c r="AQ131" s="71" t="s">
        <v>106</v>
      </c>
      <c r="AV131" s="70">
        <f>AW131+AX131</f>
        <v>0</v>
      </c>
      <c r="AW131" s="70">
        <f>G131*AO131</f>
        <v>0</v>
      </c>
      <c r="AX131" s="70">
        <f>G131*AP131</f>
        <v>0</v>
      </c>
      <c r="AY131" s="71" t="s">
        <v>331</v>
      </c>
      <c r="AZ131" s="71" t="s">
        <v>332</v>
      </c>
      <c r="BA131" s="67" t="s">
        <v>308</v>
      </c>
      <c r="BC131" s="70">
        <f>AW131+AX131</f>
        <v>0</v>
      </c>
      <c r="BD131" s="70">
        <f>H131/(100-BE131)*100</f>
        <v>0</v>
      </c>
      <c r="BE131" s="70">
        <v>0</v>
      </c>
      <c r="BF131" s="70">
        <f>131</f>
        <v>131</v>
      </c>
      <c r="BH131" s="70">
        <f>G131*AO131</f>
        <v>0</v>
      </c>
      <c r="BI131" s="70">
        <f>G131*AP131</f>
        <v>0</v>
      </c>
      <c r="BJ131" s="70">
        <f>G131*H131</f>
        <v>0</v>
      </c>
    </row>
    <row r="132" spans="1:62" ht="15">
      <c r="A132" s="72" t="s">
        <v>342</v>
      </c>
      <c r="B132" s="72" t="s">
        <v>343</v>
      </c>
      <c r="C132" s="712" t="s">
        <v>344</v>
      </c>
      <c r="D132" s="693"/>
      <c r="E132" s="713"/>
      <c r="F132" s="72" t="s">
        <v>209</v>
      </c>
      <c r="G132" s="73">
        <v>956</v>
      </c>
      <c r="H132" s="581">
        <v>0</v>
      </c>
      <c r="I132" s="73">
        <f>G132*AO132</f>
        <v>0</v>
      </c>
      <c r="J132" s="73">
        <f>G132*AP132</f>
        <v>0</v>
      </c>
      <c r="K132" s="73">
        <f>G132*H132</f>
        <v>0</v>
      </c>
      <c r="L132" s="74" t="s">
        <v>120</v>
      </c>
      <c r="Z132" s="70">
        <f>IF(AQ132="5",BJ132,0)</f>
        <v>0</v>
      </c>
      <c r="AB132" s="70">
        <f>IF(AQ132="1",BH132,0)</f>
        <v>0</v>
      </c>
      <c r="AC132" s="70">
        <f>IF(AQ132="1",BI132,0)</f>
        <v>0</v>
      </c>
      <c r="AD132" s="70">
        <f>IF(AQ132="7",BH132,0)</f>
        <v>0</v>
      </c>
      <c r="AE132" s="70">
        <f>IF(AQ132="7",BI132,0)</f>
        <v>0</v>
      </c>
      <c r="AF132" s="70">
        <f>IF(AQ132="2",BH132,0)</f>
        <v>0</v>
      </c>
      <c r="AG132" s="70">
        <f>IF(AQ132="2",BI132,0)</f>
        <v>0</v>
      </c>
      <c r="AH132" s="70">
        <f>IF(AQ132="0",BJ132,0)</f>
        <v>0</v>
      </c>
      <c r="AI132" s="67" t="s">
        <v>166</v>
      </c>
      <c r="AJ132" s="70">
        <f>IF(AN132=0,K132,0)</f>
        <v>0</v>
      </c>
      <c r="AK132" s="70">
        <f>IF(AN132=15,K132,0)</f>
        <v>0</v>
      </c>
      <c r="AL132" s="70">
        <f>IF(AN132=21,K132,0)</f>
        <v>0</v>
      </c>
      <c r="AN132" s="70">
        <v>21</v>
      </c>
      <c r="AO132" s="70">
        <f>H132*0.475022091310751</f>
        <v>0</v>
      </c>
      <c r="AP132" s="70">
        <f>H132*(1-0.475022091310751)</f>
        <v>0</v>
      </c>
      <c r="AQ132" s="71" t="s">
        <v>106</v>
      </c>
      <c r="AV132" s="70">
        <f>AW132+AX132</f>
        <v>0</v>
      </c>
      <c r="AW132" s="70">
        <f>G132*AO132</f>
        <v>0</v>
      </c>
      <c r="AX132" s="70">
        <f>G132*AP132</f>
        <v>0</v>
      </c>
      <c r="AY132" s="71" t="s">
        <v>331</v>
      </c>
      <c r="AZ132" s="71" t="s">
        <v>332</v>
      </c>
      <c r="BA132" s="67" t="s">
        <v>308</v>
      </c>
      <c r="BC132" s="70">
        <f>AW132+AX132</f>
        <v>0</v>
      </c>
      <c r="BD132" s="70">
        <f>H132/(100-BE132)*100</f>
        <v>0</v>
      </c>
      <c r="BE132" s="70">
        <v>0</v>
      </c>
      <c r="BF132" s="70">
        <f>132</f>
        <v>132</v>
      </c>
      <c r="BH132" s="70">
        <f>G132*AO132</f>
        <v>0</v>
      </c>
      <c r="BI132" s="70">
        <f>G132*AP132</f>
        <v>0</v>
      </c>
      <c r="BJ132" s="70">
        <f>G132*H132</f>
        <v>0</v>
      </c>
    </row>
    <row r="133" spans="1:47" ht="15">
      <c r="A133" s="88"/>
      <c r="B133" s="89" t="s">
        <v>345</v>
      </c>
      <c r="C133" s="710" t="s">
        <v>346</v>
      </c>
      <c r="D133" s="711"/>
      <c r="E133" s="711"/>
      <c r="F133" s="88" t="s">
        <v>70</v>
      </c>
      <c r="G133" s="88" t="s">
        <v>70</v>
      </c>
      <c r="H133" s="88" t="s">
        <v>70</v>
      </c>
      <c r="I133" s="90">
        <f>SUM(I134:I134)</f>
        <v>0</v>
      </c>
      <c r="J133" s="90">
        <f>SUM(J134:J134)</f>
        <v>0</v>
      </c>
      <c r="K133" s="90">
        <f>SUM(K134:K134)</f>
        <v>0</v>
      </c>
      <c r="L133" s="91"/>
      <c r="AI133" s="67" t="s">
        <v>166</v>
      </c>
      <c r="AS133" s="68">
        <f>SUM(AJ134:AJ134)</f>
        <v>0</v>
      </c>
      <c r="AT133" s="68">
        <f>SUM(AK134:AK134)</f>
        <v>0</v>
      </c>
      <c r="AU133" s="68">
        <f>SUM(AL134:AL134)</f>
        <v>0</v>
      </c>
    </row>
    <row r="134" spans="1:62" ht="15">
      <c r="A134" s="69" t="s">
        <v>347</v>
      </c>
      <c r="B134" s="69" t="s">
        <v>348</v>
      </c>
      <c r="C134" s="696" t="s">
        <v>349</v>
      </c>
      <c r="D134" s="693"/>
      <c r="E134" s="693"/>
      <c r="F134" s="69" t="s">
        <v>132</v>
      </c>
      <c r="G134" s="70">
        <v>1392.6</v>
      </c>
      <c r="H134" s="580">
        <v>0</v>
      </c>
      <c r="I134" s="70">
        <f>G134*AO134</f>
        <v>0</v>
      </c>
      <c r="J134" s="70">
        <f>G134*AP134</f>
        <v>0</v>
      </c>
      <c r="K134" s="70">
        <f>G134*H134</f>
        <v>0</v>
      </c>
      <c r="L134" s="71" t="s">
        <v>282</v>
      </c>
      <c r="Z134" s="70">
        <f>IF(AQ134="5",BJ134,0)</f>
        <v>0</v>
      </c>
      <c r="AB134" s="70">
        <f>IF(AQ134="1",BH134,0)</f>
        <v>0</v>
      </c>
      <c r="AC134" s="70">
        <f>IF(AQ134="1",BI134,0)</f>
        <v>0</v>
      </c>
      <c r="AD134" s="70">
        <f>IF(AQ134="7",BH134,0)</f>
        <v>0</v>
      </c>
      <c r="AE134" s="70">
        <f>IF(AQ134="7",BI134,0)</f>
        <v>0</v>
      </c>
      <c r="AF134" s="70">
        <f>IF(AQ134="2",BH134,0)</f>
        <v>0</v>
      </c>
      <c r="AG134" s="70">
        <f>IF(AQ134="2",BI134,0)</f>
        <v>0</v>
      </c>
      <c r="AH134" s="70">
        <f>IF(AQ134="0",BJ134,0)</f>
        <v>0</v>
      </c>
      <c r="AI134" s="67" t="s">
        <v>166</v>
      </c>
      <c r="AJ134" s="70">
        <f>IF(AN134=0,K134,0)</f>
        <v>0</v>
      </c>
      <c r="AK134" s="70">
        <f>IF(AN134=15,K134,0)</f>
        <v>0</v>
      </c>
      <c r="AL134" s="70">
        <f>IF(AN134=21,K134,0)</f>
        <v>0</v>
      </c>
      <c r="AN134" s="70">
        <v>21</v>
      </c>
      <c r="AO134" s="70">
        <f>H134*0</f>
        <v>0</v>
      </c>
      <c r="AP134" s="70">
        <f>H134*(1-0)</f>
        <v>0</v>
      </c>
      <c r="AQ134" s="71" t="s">
        <v>124</v>
      </c>
      <c r="AV134" s="70">
        <f>AW134+AX134</f>
        <v>0</v>
      </c>
      <c r="AW134" s="70">
        <f>G134*AO134</f>
        <v>0</v>
      </c>
      <c r="AX134" s="70">
        <f>G134*AP134</f>
        <v>0</v>
      </c>
      <c r="AY134" s="71" t="s">
        <v>350</v>
      </c>
      <c r="AZ134" s="71" t="s">
        <v>351</v>
      </c>
      <c r="BA134" s="67" t="s">
        <v>308</v>
      </c>
      <c r="BC134" s="70">
        <f>AW134+AX134</f>
        <v>0</v>
      </c>
      <c r="BD134" s="70">
        <f>H134/(100-BE134)*100</f>
        <v>0</v>
      </c>
      <c r="BE134" s="70">
        <v>0</v>
      </c>
      <c r="BF134" s="70">
        <f>134</f>
        <v>134</v>
      </c>
      <c r="BH134" s="70">
        <f>G134*AO134</f>
        <v>0</v>
      </c>
      <c r="BI134" s="70">
        <f>G134*AP134</f>
        <v>0</v>
      </c>
      <c r="BJ134" s="70">
        <f>G134*H134</f>
        <v>0</v>
      </c>
    </row>
    <row r="135" spans="1:47" ht="15">
      <c r="A135" s="88"/>
      <c r="B135" s="89"/>
      <c r="C135" s="710" t="s">
        <v>52</v>
      </c>
      <c r="D135" s="711"/>
      <c r="E135" s="711"/>
      <c r="F135" s="88" t="s">
        <v>70</v>
      </c>
      <c r="G135" s="88" t="s">
        <v>70</v>
      </c>
      <c r="H135" s="88" t="s">
        <v>70</v>
      </c>
      <c r="I135" s="90">
        <f>SUM(I136:I144)</f>
        <v>0</v>
      </c>
      <c r="J135" s="90">
        <f>SUM(J136:J144)</f>
        <v>0</v>
      </c>
      <c r="K135" s="90">
        <f>SUM(K136:K144)</f>
        <v>0</v>
      </c>
      <c r="L135" s="91"/>
      <c r="AI135" s="67" t="s">
        <v>166</v>
      </c>
      <c r="AS135" s="68">
        <f>SUM(AJ136:AJ144)</f>
        <v>0</v>
      </c>
      <c r="AT135" s="68">
        <f>SUM(AK136:AK144)</f>
        <v>0</v>
      </c>
      <c r="AU135" s="68">
        <f>SUM(AL136:AL144)</f>
        <v>0</v>
      </c>
    </row>
    <row r="136" spans="1:62" ht="15">
      <c r="A136" s="69" t="s">
        <v>352</v>
      </c>
      <c r="B136" s="69" t="s">
        <v>353</v>
      </c>
      <c r="C136" s="696" t="s">
        <v>354</v>
      </c>
      <c r="D136" s="693"/>
      <c r="E136" s="693"/>
      <c r="F136" s="69" t="s">
        <v>132</v>
      </c>
      <c r="G136" s="70">
        <v>89.3</v>
      </c>
      <c r="H136" s="580">
        <v>0</v>
      </c>
      <c r="I136" s="70">
        <f>G136*AO136</f>
        <v>0</v>
      </c>
      <c r="J136" s="70">
        <f>G136*AP136</f>
        <v>0</v>
      </c>
      <c r="K136" s="70">
        <f>G136*H136</f>
        <v>0</v>
      </c>
      <c r="L136" s="71" t="s">
        <v>282</v>
      </c>
      <c r="Z136" s="70">
        <f>IF(AQ136="5",BJ136,0)</f>
        <v>0</v>
      </c>
      <c r="AB136" s="70">
        <f>IF(AQ136="1",BH136,0)</f>
        <v>0</v>
      </c>
      <c r="AC136" s="70">
        <f>IF(AQ136="1",BI136,0)</f>
        <v>0</v>
      </c>
      <c r="AD136" s="70">
        <f>IF(AQ136="7",BH136,0)</f>
        <v>0</v>
      </c>
      <c r="AE136" s="70">
        <f>IF(AQ136="7",BI136,0)</f>
        <v>0</v>
      </c>
      <c r="AF136" s="70">
        <f>IF(AQ136="2",BH136,0)</f>
        <v>0</v>
      </c>
      <c r="AG136" s="70">
        <f>IF(AQ136="2",BI136,0)</f>
        <v>0</v>
      </c>
      <c r="AH136" s="70">
        <f>IF(AQ136="0",BJ136,0)</f>
        <v>0</v>
      </c>
      <c r="AI136" s="67" t="s">
        <v>166</v>
      </c>
      <c r="AJ136" s="70">
        <f>IF(AN136=0,K136,0)</f>
        <v>0</v>
      </c>
      <c r="AK136" s="70">
        <f>IF(AN136=15,K136,0)</f>
        <v>0</v>
      </c>
      <c r="AL136" s="70">
        <f>IF(AN136=21,K136,0)</f>
        <v>0</v>
      </c>
      <c r="AN136" s="70">
        <v>21</v>
      </c>
      <c r="AO136" s="70">
        <f>H136*1</f>
        <v>0</v>
      </c>
      <c r="AP136" s="70">
        <f>H136*(1-1)</f>
        <v>0</v>
      </c>
      <c r="AQ136" s="71" t="s">
        <v>355</v>
      </c>
      <c r="AV136" s="70">
        <f>AW136+AX136</f>
        <v>0</v>
      </c>
      <c r="AW136" s="70">
        <f>G136*AO136</f>
        <v>0</v>
      </c>
      <c r="AX136" s="70">
        <f>G136*AP136</f>
        <v>0</v>
      </c>
      <c r="AY136" s="71" t="s">
        <v>356</v>
      </c>
      <c r="AZ136" s="71" t="s">
        <v>357</v>
      </c>
      <c r="BA136" s="67" t="s">
        <v>308</v>
      </c>
      <c r="BC136" s="70">
        <f>AW136+AX136</f>
        <v>0</v>
      </c>
      <c r="BD136" s="70">
        <f>H136/(100-BE136)*100</f>
        <v>0</v>
      </c>
      <c r="BE136" s="70">
        <v>0</v>
      </c>
      <c r="BF136" s="70">
        <f>136</f>
        <v>136</v>
      </c>
      <c r="BH136" s="70">
        <f>G136*AO136</f>
        <v>0</v>
      </c>
      <c r="BI136" s="70">
        <f>G136*AP136</f>
        <v>0</v>
      </c>
      <c r="BJ136" s="70">
        <f>G136*H136</f>
        <v>0</v>
      </c>
    </row>
    <row r="137" spans="2:12" ht="12.75" customHeight="1">
      <c r="B137" s="75" t="s">
        <v>67</v>
      </c>
      <c r="C137" s="725" t="s">
        <v>358</v>
      </c>
      <c r="D137" s="726"/>
      <c r="E137" s="726"/>
      <c r="F137" s="726"/>
      <c r="G137" s="726"/>
      <c r="H137" s="726"/>
      <c r="I137" s="726"/>
      <c r="J137" s="726"/>
      <c r="K137" s="726"/>
      <c r="L137" s="726"/>
    </row>
    <row r="138" spans="1:62" ht="15">
      <c r="A138" s="69" t="s">
        <v>359</v>
      </c>
      <c r="B138" s="69" t="s">
        <v>360</v>
      </c>
      <c r="C138" s="696" t="s">
        <v>361</v>
      </c>
      <c r="D138" s="693"/>
      <c r="E138" s="693"/>
      <c r="F138" s="69" t="s">
        <v>132</v>
      </c>
      <c r="G138" s="70">
        <v>450.8</v>
      </c>
      <c r="H138" s="580">
        <v>0</v>
      </c>
      <c r="I138" s="70">
        <f>G138*AO138</f>
        <v>0</v>
      </c>
      <c r="J138" s="70">
        <f>G138*AP138</f>
        <v>0</v>
      </c>
      <c r="K138" s="70">
        <f>G138*H138</f>
        <v>0</v>
      </c>
      <c r="L138" s="71" t="s">
        <v>282</v>
      </c>
      <c r="Z138" s="70">
        <f>IF(AQ138="5",BJ138,0)</f>
        <v>0</v>
      </c>
      <c r="AB138" s="70">
        <f>IF(AQ138="1",BH138,0)</f>
        <v>0</v>
      </c>
      <c r="AC138" s="70">
        <f>IF(AQ138="1",BI138,0)</f>
        <v>0</v>
      </c>
      <c r="AD138" s="70">
        <f>IF(AQ138="7",BH138,0)</f>
        <v>0</v>
      </c>
      <c r="AE138" s="70">
        <f>IF(AQ138="7",BI138,0)</f>
        <v>0</v>
      </c>
      <c r="AF138" s="70">
        <f>IF(AQ138="2",BH138,0)</f>
        <v>0</v>
      </c>
      <c r="AG138" s="70">
        <f>IF(AQ138="2",BI138,0)</f>
        <v>0</v>
      </c>
      <c r="AH138" s="70">
        <f>IF(AQ138="0",BJ138,0)</f>
        <v>0</v>
      </c>
      <c r="AI138" s="67" t="s">
        <v>166</v>
      </c>
      <c r="AJ138" s="70">
        <f>IF(AN138=0,K138,0)</f>
        <v>0</v>
      </c>
      <c r="AK138" s="70">
        <f>IF(AN138=15,K138,0)</f>
        <v>0</v>
      </c>
      <c r="AL138" s="70">
        <f>IF(AN138=21,K138,0)</f>
        <v>0</v>
      </c>
      <c r="AN138" s="70">
        <v>21</v>
      </c>
      <c r="AO138" s="70">
        <f>H138*1</f>
        <v>0</v>
      </c>
      <c r="AP138" s="70">
        <f>H138*(1-1)</f>
        <v>0</v>
      </c>
      <c r="AQ138" s="71" t="s">
        <v>355</v>
      </c>
      <c r="AV138" s="70">
        <f>AW138+AX138</f>
        <v>0</v>
      </c>
      <c r="AW138" s="70">
        <f>G138*AO138</f>
        <v>0</v>
      </c>
      <c r="AX138" s="70">
        <f>G138*AP138</f>
        <v>0</v>
      </c>
      <c r="AY138" s="71" t="s">
        <v>356</v>
      </c>
      <c r="AZ138" s="71" t="s">
        <v>357</v>
      </c>
      <c r="BA138" s="67" t="s">
        <v>308</v>
      </c>
      <c r="BC138" s="70">
        <f>AW138+AX138</f>
        <v>0</v>
      </c>
      <c r="BD138" s="70">
        <f>H138/(100-BE138)*100</f>
        <v>0</v>
      </c>
      <c r="BE138" s="70">
        <v>0</v>
      </c>
      <c r="BF138" s="70">
        <f>138</f>
        <v>138</v>
      </c>
      <c r="BH138" s="70">
        <f>G138*AO138</f>
        <v>0</v>
      </c>
      <c r="BI138" s="70">
        <f>G138*AP138</f>
        <v>0</v>
      </c>
      <c r="BJ138" s="70">
        <f>G138*H138</f>
        <v>0</v>
      </c>
    </row>
    <row r="139" spans="2:12" ht="12.75" customHeight="1">
      <c r="B139" s="75" t="s">
        <v>67</v>
      </c>
      <c r="C139" s="725" t="s">
        <v>358</v>
      </c>
      <c r="D139" s="726"/>
      <c r="E139" s="726"/>
      <c r="F139" s="726"/>
      <c r="G139" s="726"/>
      <c r="H139" s="726"/>
      <c r="I139" s="726"/>
      <c r="J139" s="726"/>
      <c r="K139" s="726"/>
      <c r="L139" s="726"/>
    </row>
    <row r="140" spans="1:62" ht="15">
      <c r="A140" s="69" t="s">
        <v>362</v>
      </c>
      <c r="B140" s="69" t="s">
        <v>363</v>
      </c>
      <c r="C140" s="696" t="s">
        <v>364</v>
      </c>
      <c r="D140" s="693"/>
      <c r="E140" s="693"/>
      <c r="F140" s="69" t="s">
        <v>132</v>
      </c>
      <c r="G140" s="70">
        <v>245.4</v>
      </c>
      <c r="H140" s="580">
        <v>0</v>
      </c>
      <c r="I140" s="70">
        <f>G140*AO140</f>
        <v>0</v>
      </c>
      <c r="J140" s="70">
        <f>G140*AP140</f>
        <v>0</v>
      </c>
      <c r="K140" s="70">
        <f>G140*H140</f>
        <v>0</v>
      </c>
      <c r="L140" s="71" t="s">
        <v>120</v>
      </c>
      <c r="Z140" s="70">
        <f>IF(AQ140="5",BJ140,0)</f>
        <v>0</v>
      </c>
      <c r="AB140" s="70">
        <f>IF(AQ140="1",BH140,0)</f>
        <v>0</v>
      </c>
      <c r="AC140" s="70">
        <f>IF(AQ140="1",BI140,0)</f>
        <v>0</v>
      </c>
      <c r="AD140" s="70">
        <f>IF(AQ140="7",BH140,0)</f>
        <v>0</v>
      </c>
      <c r="AE140" s="70">
        <f>IF(AQ140="7",BI140,0)</f>
        <v>0</v>
      </c>
      <c r="AF140" s="70">
        <f>IF(AQ140="2",BH140,0)</f>
        <v>0</v>
      </c>
      <c r="AG140" s="70">
        <f>IF(AQ140="2",BI140,0)</f>
        <v>0</v>
      </c>
      <c r="AH140" s="70">
        <f>IF(AQ140="0",BJ140,0)</f>
        <v>0</v>
      </c>
      <c r="AI140" s="67" t="s">
        <v>166</v>
      </c>
      <c r="AJ140" s="70">
        <f>IF(AN140=0,K140,0)</f>
        <v>0</v>
      </c>
      <c r="AK140" s="70">
        <f>IF(AN140=15,K140,0)</f>
        <v>0</v>
      </c>
      <c r="AL140" s="70">
        <f>IF(AN140=21,K140,0)</f>
        <v>0</v>
      </c>
      <c r="AN140" s="70">
        <v>21</v>
      </c>
      <c r="AO140" s="70">
        <f>H140*1</f>
        <v>0</v>
      </c>
      <c r="AP140" s="70">
        <f>H140*(1-1)</f>
        <v>0</v>
      </c>
      <c r="AQ140" s="71" t="s">
        <v>355</v>
      </c>
      <c r="AV140" s="70">
        <f>AW140+AX140</f>
        <v>0</v>
      </c>
      <c r="AW140" s="70">
        <f>G140*AO140</f>
        <v>0</v>
      </c>
      <c r="AX140" s="70">
        <f>G140*AP140</f>
        <v>0</v>
      </c>
      <c r="AY140" s="71" t="s">
        <v>356</v>
      </c>
      <c r="AZ140" s="71" t="s">
        <v>357</v>
      </c>
      <c r="BA140" s="67" t="s">
        <v>308</v>
      </c>
      <c r="BC140" s="70">
        <f>AW140+AX140</f>
        <v>0</v>
      </c>
      <c r="BD140" s="70">
        <f>H140/(100-BE140)*100</f>
        <v>0</v>
      </c>
      <c r="BE140" s="70">
        <v>0</v>
      </c>
      <c r="BF140" s="70">
        <f>140</f>
        <v>140</v>
      </c>
      <c r="BH140" s="70">
        <f>G140*AO140</f>
        <v>0</v>
      </c>
      <c r="BI140" s="70">
        <f>G140*AP140</f>
        <v>0</v>
      </c>
      <c r="BJ140" s="70">
        <f>G140*H140</f>
        <v>0</v>
      </c>
    </row>
    <row r="141" spans="2:12" ht="12.75" customHeight="1">
      <c r="B141" s="75" t="s">
        <v>67</v>
      </c>
      <c r="C141" s="725" t="s">
        <v>358</v>
      </c>
      <c r="D141" s="726"/>
      <c r="E141" s="726"/>
      <c r="F141" s="726"/>
      <c r="G141" s="726"/>
      <c r="H141" s="726"/>
      <c r="I141" s="726"/>
      <c r="J141" s="726"/>
      <c r="K141" s="726"/>
      <c r="L141" s="726"/>
    </row>
    <row r="142" spans="1:62" ht="15">
      <c r="A142" s="72" t="s">
        <v>365</v>
      </c>
      <c r="B142" s="72" t="s">
        <v>366</v>
      </c>
      <c r="C142" s="712" t="s">
        <v>367</v>
      </c>
      <c r="D142" s="693"/>
      <c r="E142" s="713"/>
      <c r="F142" s="72" t="s">
        <v>132</v>
      </c>
      <c r="G142" s="73">
        <v>314.6</v>
      </c>
      <c r="H142" s="581">
        <v>0</v>
      </c>
      <c r="I142" s="73">
        <f>G142*AO142</f>
        <v>0</v>
      </c>
      <c r="J142" s="73">
        <f>G142*AP142</f>
        <v>0</v>
      </c>
      <c r="K142" s="73">
        <f>G142*H142</f>
        <v>0</v>
      </c>
      <c r="L142" s="74" t="s">
        <v>120</v>
      </c>
      <c r="Z142" s="70">
        <f>IF(AQ142="5",BJ142,0)</f>
        <v>0</v>
      </c>
      <c r="AB142" s="70">
        <f>IF(AQ142="1",BH142,0)</f>
        <v>0</v>
      </c>
      <c r="AC142" s="70">
        <f>IF(AQ142="1",BI142,0)</f>
        <v>0</v>
      </c>
      <c r="AD142" s="70">
        <f>IF(AQ142="7",BH142,0)</f>
        <v>0</v>
      </c>
      <c r="AE142" s="70">
        <f>IF(AQ142="7",BI142,0)</f>
        <v>0</v>
      </c>
      <c r="AF142" s="70">
        <f>IF(AQ142="2",BH142,0)</f>
        <v>0</v>
      </c>
      <c r="AG142" s="70">
        <f>IF(AQ142="2",BI142,0)</f>
        <v>0</v>
      </c>
      <c r="AH142" s="70">
        <f>IF(AQ142="0",BJ142,0)</f>
        <v>0</v>
      </c>
      <c r="AI142" s="67" t="s">
        <v>166</v>
      </c>
      <c r="AJ142" s="70">
        <f>IF(AN142=0,K142,0)</f>
        <v>0</v>
      </c>
      <c r="AK142" s="70">
        <f>IF(AN142=15,K142,0)</f>
        <v>0</v>
      </c>
      <c r="AL142" s="70">
        <f>IF(AN142=21,K142,0)</f>
        <v>0</v>
      </c>
      <c r="AN142" s="70">
        <v>21</v>
      </c>
      <c r="AO142" s="70">
        <f>H142*1</f>
        <v>0</v>
      </c>
      <c r="AP142" s="70">
        <f>H142*(1-1)</f>
        <v>0</v>
      </c>
      <c r="AQ142" s="71" t="s">
        <v>355</v>
      </c>
      <c r="AV142" s="70">
        <f>AW142+AX142</f>
        <v>0</v>
      </c>
      <c r="AW142" s="70">
        <f>G142*AO142</f>
        <v>0</v>
      </c>
      <c r="AX142" s="70">
        <f>G142*AP142</f>
        <v>0</v>
      </c>
      <c r="AY142" s="71" t="s">
        <v>356</v>
      </c>
      <c r="AZ142" s="71" t="s">
        <v>357</v>
      </c>
      <c r="BA142" s="67" t="s">
        <v>308</v>
      </c>
      <c r="BC142" s="70">
        <f>AW142+AX142</f>
        <v>0</v>
      </c>
      <c r="BD142" s="70">
        <f>H142/(100-BE142)*100</f>
        <v>0</v>
      </c>
      <c r="BE142" s="70">
        <v>0</v>
      </c>
      <c r="BF142" s="70">
        <f>142</f>
        <v>142</v>
      </c>
      <c r="BH142" s="70">
        <f>G142*AO142</f>
        <v>0</v>
      </c>
      <c r="BI142" s="70">
        <f>G142*AP142</f>
        <v>0</v>
      </c>
      <c r="BJ142" s="70">
        <f>G142*H142</f>
        <v>0</v>
      </c>
    </row>
    <row r="143" spans="2:12" ht="51.3" customHeight="1">
      <c r="B143" s="75" t="s">
        <v>67</v>
      </c>
      <c r="C143" s="725" t="s">
        <v>368</v>
      </c>
      <c r="D143" s="726"/>
      <c r="E143" s="726"/>
      <c r="F143" s="726"/>
      <c r="G143" s="726"/>
      <c r="H143" s="726"/>
      <c r="I143" s="726"/>
      <c r="J143" s="726"/>
      <c r="K143" s="726"/>
      <c r="L143" s="726"/>
    </row>
    <row r="144" spans="1:62" ht="15">
      <c r="A144" s="72" t="s">
        <v>369</v>
      </c>
      <c r="B144" s="72" t="s">
        <v>370</v>
      </c>
      <c r="C144" s="712" t="s">
        <v>371</v>
      </c>
      <c r="D144" s="693"/>
      <c r="E144" s="713"/>
      <c r="F144" s="72" t="s">
        <v>209</v>
      </c>
      <c r="G144" s="73">
        <v>956</v>
      </c>
      <c r="H144" s="581">
        <v>0</v>
      </c>
      <c r="I144" s="73">
        <f>G144*AO144</f>
        <v>0</v>
      </c>
      <c r="J144" s="73">
        <f>G144*AP144</f>
        <v>0</v>
      </c>
      <c r="K144" s="73">
        <f>G144*H144</f>
        <v>0</v>
      </c>
      <c r="L144" s="74" t="s">
        <v>120</v>
      </c>
      <c r="Z144" s="70">
        <f>IF(AQ144="5",BJ144,0)</f>
        <v>0</v>
      </c>
      <c r="AB144" s="70">
        <f>IF(AQ144="1",BH144,0)</f>
        <v>0</v>
      </c>
      <c r="AC144" s="70">
        <f>IF(AQ144="1",BI144,0)</f>
        <v>0</v>
      </c>
      <c r="AD144" s="70">
        <f>IF(AQ144="7",BH144,0)</f>
        <v>0</v>
      </c>
      <c r="AE144" s="70">
        <f>IF(AQ144="7",BI144,0)</f>
        <v>0</v>
      </c>
      <c r="AF144" s="70">
        <f>IF(AQ144="2",BH144,0)</f>
        <v>0</v>
      </c>
      <c r="AG144" s="70">
        <f>IF(AQ144="2",BI144,0)</f>
        <v>0</v>
      </c>
      <c r="AH144" s="70">
        <f>IF(AQ144="0",BJ144,0)</f>
        <v>0</v>
      </c>
      <c r="AI144" s="67" t="s">
        <v>166</v>
      </c>
      <c r="AJ144" s="70">
        <f>IF(AN144=0,K144,0)</f>
        <v>0</v>
      </c>
      <c r="AK144" s="70">
        <f>IF(AN144=15,K144,0)</f>
        <v>0</v>
      </c>
      <c r="AL144" s="70">
        <f>IF(AN144=21,K144,0)</f>
        <v>0</v>
      </c>
      <c r="AN144" s="70">
        <v>21</v>
      </c>
      <c r="AO144" s="70">
        <f>H144*1</f>
        <v>0</v>
      </c>
      <c r="AP144" s="70">
        <f>H144*(1-1)</f>
        <v>0</v>
      </c>
      <c r="AQ144" s="71" t="s">
        <v>355</v>
      </c>
      <c r="AV144" s="70">
        <f>AW144+AX144</f>
        <v>0</v>
      </c>
      <c r="AW144" s="70">
        <f>G144*AO144</f>
        <v>0</v>
      </c>
      <c r="AX144" s="70">
        <f>G144*AP144</f>
        <v>0</v>
      </c>
      <c r="AY144" s="71" t="s">
        <v>356</v>
      </c>
      <c r="AZ144" s="71" t="s">
        <v>357</v>
      </c>
      <c r="BA144" s="67" t="s">
        <v>308</v>
      </c>
      <c r="BC144" s="70">
        <f>AW144+AX144</f>
        <v>0</v>
      </c>
      <c r="BD144" s="70">
        <f>H144/(100-BE144)*100</f>
        <v>0</v>
      </c>
      <c r="BE144" s="70">
        <v>0</v>
      </c>
      <c r="BF144" s="70">
        <f>144</f>
        <v>144</v>
      </c>
      <c r="BH144" s="70">
        <f>G144*AO144</f>
        <v>0</v>
      </c>
      <c r="BI144" s="70">
        <f>G144*AP144</f>
        <v>0</v>
      </c>
      <c r="BJ144" s="70">
        <f>G144*H144</f>
        <v>0</v>
      </c>
    </row>
    <row r="145" spans="2:12" ht="25.35" customHeight="1">
      <c r="B145" s="75" t="s">
        <v>67</v>
      </c>
      <c r="C145" s="725" t="s">
        <v>372</v>
      </c>
      <c r="D145" s="726"/>
      <c r="E145" s="726"/>
      <c r="F145" s="726"/>
      <c r="G145" s="726"/>
      <c r="H145" s="726"/>
      <c r="I145" s="726"/>
      <c r="J145" s="726"/>
      <c r="K145" s="726"/>
      <c r="L145" s="726"/>
    </row>
    <row r="146" spans="1:12" ht="15">
      <c r="A146" s="48"/>
      <c r="B146" s="49"/>
      <c r="C146" s="727" t="s">
        <v>373</v>
      </c>
      <c r="D146" s="728"/>
      <c r="E146" s="728"/>
      <c r="F146" s="48" t="s">
        <v>70</v>
      </c>
      <c r="G146" s="48" t="s">
        <v>70</v>
      </c>
      <c r="H146" s="48" t="s">
        <v>70</v>
      </c>
      <c r="I146" s="50">
        <f>I147+I152+I162+I164</f>
        <v>0</v>
      </c>
      <c r="J146" s="50">
        <f>J147+J152+J162+J164</f>
        <v>0</v>
      </c>
      <c r="K146" s="50">
        <f>K147+K152+K162+K164</f>
        <v>0</v>
      </c>
      <c r="L146" s="51"/>
    </row>
    <row r="147" spans="1:47" ht="15">
      <c r="A147" s="88"/>
      <c r="B147" s="89" t="s">
        <v>169</v>
      </c>
      <c r="C147" s="710" t="s">
        <v>278</v>
      </c>
      <c r="D147" s="711"/>
      <c r="E147" s="711"/>
      <c r="F147" s="88" t="s">
        <v>70</v>
      </c>
      <c r="G147" s="88" t="s">
        <v>70</v>
      </c>
      <c r="H147" s="88" t="s">
        <v>70</v>
      </c>
      <c r="I147" s="90">
        <f>SUM(I148:I151)</f>
        <v>0</v>
      </c>
      <c r="J147" s="90">
        <f>SUM(J148:J151)</f>
        <v>0</v>
      </c>
      <c r="K147" s="90">
        <f>SUM(K148:K151)</f>
        <v>0</v>
      </c>
      <c r="L147" s="91"/>
      <c r="AI147" s="67" t="s">
        <v>169</v>
      </c>
      <c r="AS147" s="68">
        <f>SUM(AJ148:AJ151)</f>
        <v>0</v>
      </c>
      <c r="AT147" s="68">
        <f>SUM(AK148:AK151)</f>
        <v>0</v>
      </c>
      <c r="AU147" s="68">
        <f>SUM(AL148:AL151)</f>
        <v>0</v>
      </c>
    </row>
    <row r="148" spans="1:62" ht="15">
      <c r="A148" s="69" t="s">
        <v>374</v>
      </c>
      <c r="B148" s="69" t="s">
        <v>280</v>
      </c>
      <c r="C148" s="696" t="s">
        <v>375</v>
      </c>
      <c r="D148" s="693"/>
      <c r="E148" s="693"/>
      <c r="F148" s="69" t="s">
        <v>253</v>
      </c>
      <c r="G148" s="70">
        <v>49.8</v>
      </c>
      <c r="H148" s="580">
        <v>0</v>
      </c>
      <c r="I148" s="70">
        <f>G148*AO148</f>
        <v>0</v>
      </c>
      <c r="J148" s="70">
        <f>G148*AP148</f>
        <v>0</v>
      </c>
      <c r="K148" s="70">
        <f>G148*H148</f>
        <v>0</v>
      </c>
      <c r="L148" s="71" t="s">
        <v>120</v>
      </c>
      <c r="Z148" s="70">
        <f>IF(AQ148="5",BJ148,0)</f>
        <v>0</v>
      </c>
      <c r="AB148" s="70">
        <f>IF(AQ148="1",BH148,0)</f>
        <v>0</v>
      </c>
      <c r="AC148" s="70">
        <f>IF(AQ148="1",BI148,0)</f>
        <v>0</v>
      </c>
      <c r="AD148" s="70">
        <f>IF(AQ148="7",BH148,0)</f>
        <v>0</v>
      </c>
      <c r="AE148" s="70">
        <f>IF(AQ148="7",BI148,0)</f>
        <v>0</v>
      </c>
      <c r="AF148" s="70">
        <f>IF(AQ148="2",BH148,0)</f>
        <v>0</v>
      </c>
      <c r="AG148" s="70">
        <f>IF(AQ148="2",BI148,0)</f>
        <v>0</v>
      </c>
      <c r="AH148" s="70">
        <f>IF(AQ148="0",BJ148,0)</f>
        <v>0</v>
      </c>
      <c r="AI148" s="67" t="s">
        <v>169</v>
      </c>
      <c r="AJ148" s="70">
        <f>IF(AN148=0,K148,0)</f>
        <v>0</v>
      </c>
      <c r="AK148" s="70">
        <f>IF(AN148=15,K148,0)</f>
        <v>0</v>
      </c>
      <c r="AL148" s="70">
        <f>IF(AN148=21,K148,0)</f>
        <v>0</v>
      </c>
      <c r="AN148" s="70">
        <v>21</v>
      </c>
      <c r="AO148" s="70">
        <f>H148*0</f>
        <v>0</v>
      </c>
      <c r="AP148" s="70">
        <f>H148*(1-0)</f>
        <v>0</v>
      </c>
      <c r="AQ148" s="71" t="s">
        <v>106</v>
      </c>
      <c r="AV148" s="70">
        <f>AW148+AX148</f>
        <v>0</v>
      </c>
      <c r="AW148" s="70">
        <f>G148*AO148</f>
        <v>0</v>
      </c>
      <c r="AX148" s="70">
        <f>G148*AP148</f>
        <v>0</v>
      </c>
      <c r="AY148" s="71" t="s">
        <v>283</v>
      </c>
      <c r="AZ148" s="71" t="s">
        <v>376</v>
      </c>
      <c r="BA148" s="67" t="s">
        <v>283</v>
      </c>
      <c r="BC148" s="70">
        <f>AW148+AX148</f>
        <v>0</v>
      </c>
      <c r="BD148" s="70">
        <f>H148/(100-BE148)*100</f>
        <v>0</v>
      </c>
      <c r="BE148" s="70">
        <v>0</v>
      </c>
      <c r="BF148" s="70">
        <f>148</f>
        <v>148</v>
      </c>
      <c r="BH148" s="70">
        <f>G148*AO148</f>
        <v>0</v>
      </c>
      <c r="BI148" s="70">
        <f>G148*AP148</f>
        <v>0</v>
      </c>
      <c r="BJ148" s="70">
        <f>G148*H148</f>
        <v>0</v>
      </c>
    </row>
    <row r="149" spans="1:62" ht="15">
      <c r="A149" s="69" t="s">
        <v>377</v>
      </c>
      <c r="B149" s="69" t="s">
        <v>318</v>
      </c>
      <c r="C149" s="696" t="s">
        <v>319</v>
      </c>
      <c r="D149" s="693"/>
      <c r="E149" s="693"/>
      <c r="F149" s="69" t="s">
        <v>109</v>
      </c>
      <c r="G149" s="70">
        <v>71.2</v>
      </c>
      <c r="H149" s="580">
        <v>0</v>
      </c>
      <c r="I149" s="70">
        <f>G149*AO149</f>
        <v>0</v>
      </c>
      <c r="J149" s="70">
        <f>G149*AP149</f>
        <v>0</v>
      </c>
      <c r="K149" s="70">
        <f>G149*H149</f>
        <v>0</v>
      </c>
      <c r="L149" s="71" t="s">
        <v>282</v>
      </c>
      <c r="Z149" s="70">
        <f>IF(AQ149="5",BJ149,0)</f>
        <v>0</v>
      </c>
      <c r="AB149" s="70">
        <f>IF(AQ149="1",BH149,0)</f>
        <v>0</v>
      </c>
      <c r="AC149" s="70">
        <f>IF(AQ149="1",BI149,0)</f>
        <v>0</v>
      </c>
      <c r="AD149" s="70">
        <f>IF(AQ149="7",BH149,0)</f>
        <v>0</v>
      </c>
      <c r="AE149" s="70">
        <f>IF(AQ149="7",BI149,0)</f>
        <v>0</v>
      </c>
      <c r="AF149" s="70">
        <f>IF(AQ149="2",BH149,0)</f>
        <v>0</v>
      </c>
      <c r="AG149" s="70">
        <f>IF(AQ149="2",BI149,0)</f>
        <v>0</v>
      </c>
      <c r="AH149" s="70">
        <f>IF(AQ149="0",BJ149,0)</f>
        <v>0</v>
      </c>
      <c r="AI149" s="67" t="s">
        <v>169</v>
      </c>
      <c r="AJ149" s="70">
        <f>IF(AN149=0,K149,0)</f>
        <v>0</v>
      </c>
      <c r="AK149" s="70">
        <f>IF(AN149=15,K149,0)</f>
        <v>0</v>
      </c>
      <c r="AL149" s="70">
        <f>IF(AN149=21,K149,0)</f>
        <v>0</v>
      </c>
      <c r="AN149" s="70">
        <v>21</v>
      </c>
      <c r="AO149" s="70">
        <f>H149*0</f>
        <v>0</v>
      </c>
      <c r="AP149" s="70">
        <f>H149*(1-0)</f>
        <v>0</v>
      </c>
      <c r="AQ149" s="71" t="s">
        <v>106</v>
      </c>
      <c r="AV149" s="70">
        <f>AW149+AX149</f>
        <v>0</v>
      </c>
      <c r="AW149" s="70">
        <f>G149*AO149</f>
        <v>0</v>
      </c>
      <c r="AX149" s="70">
        <f>G149*AP149</f>
        <v>0</v>
      </c>
      <c r="AY149" s="71" t="s">
        <v>283</v>
      </c>
      <c r="AZ149" s="71" t="s">
        <v>376</v>
      </c>
      <c r="BA149" s="67" t="s">
        <v>283</v>
      </c>
      <c r="BC149" s="70">
        <f>AW149+AX149</f>
        <v>0</v>
      </c>
      <c r="BD149" s="70">
        <f>H149/(100-BE149)*100</f>
        <v>0</v>
      </c>
      <c r="BE149" s="70">
        <v>0</v>
      </c>
      <c r="BF149" s="70">
        <f>149</f>
        <v>149</v>
      </c>
      <c r="BH149" s="70">
        <f>G149*AO149</f>
        <v>0</v>
      </c>
      <c r="BI149" s="70">
        <f>G149*AP149</f>
        <v>0</v>
      </c>
      <c r="BJ149" s="70">
        <f>G149*H149</f>
        <v>0</v>
      </c>
    </row>
    <row r="150" spans="1:62" ht="15">
      <c r="A150" s="69" t="s">
        <v>378</v>
      </c>
      <c r="B150" s="69" t="s">
        <v>322</v>
      </c>
      <c r="C150" s="696" t="s">
        <v>379</v>
      </c>
      <c r="D150" s="693"/>
      <c r="E150" s="693"/>
      <c r="F150" s="69" t="s">
        <v>253</v>
      </c>
      <c r="G150" s="70">
        <v>60.8</v>
      </c>
      <c r="H150" s="580">
        <v>0</v>
      </c>
      <c r="I150" s="70">
        <f>G150*AO150</f>
        <v>0</v>
      </c>
      <c r="J150" s="70">
        <f>G150*AP150</f>
        <v>0</v>
      </c>
      <c r="K150" s="70">
        <f>G150*H150</f>
        <v>0</v>
      </c>
      <c r="L150" s="71" t="s">
        <v>120</v>
      </c>
      <c r="Z150" s="70">
        <f>IF(AQ150="5",BJ150,0)</f>
        <v>0</v>
      </c>
      <c r="AB150" s="70">
        <f>IF(AQ150="1",BH150,0)</f>
        <v>0</v>
      </c>
      <c r="AC150" s="70">
        <f>IF(AQ150="1",BI150,0)</f>
        <v>0</v>
      </c>
      <c r="AD150" s="70">
        <f>IF(AQ150="7",BH150,0)</f>
        <v>0</v>
      </c>
      <c r="AE150" s="70">
        <f>IF(AQ150="7",BI150,0)</f>
        <v>0</v>
      </c>
      <c r="AF150" s="70">
        <f>IF(AQ150="2",BH150,0)</f>
        <v>0</v>
      </c>
      <c r="AG150" s="70">
        <f>IF(AQ150="2",BI150,0)</f>
        <v>0</v>
      </c>
      <c r="AH150" s="70">
        <f>IF(AQ150="0",BJ150,0)</f>
        <v>0</v>
      </c>
      <c r="AI150" s="67" t="s">
        <v>169</v>
      </c>
      <c r="AJ150" s="70">
        <f>IF(AN150=0,K150,0)</f>
        <v>0</v>
      </c>
      <c r="AK150" s="70">
        <f>IF(AN150=15,K150,0)</f>
        <v>0</v>
      </c>
      <c r="AL150" s="70">
        <f>IF(AN150=21,K150,0)</f>
        <v>0</v>
      </c>
      <c r="AN150" s="70">
        <v>21</v>
      </c>
      <c r="AO150" s="70">
        <f>H150*0</f>
        <v>0</v>
      </c>
      <c r="AP150" s="70">
        <f>H150*(1-0)</f>
        <v>0</v>
      </c>
      <c r="AQ150" s="71" t="s">
        <v>106</v>
      </c>
      <c r="AV150" s="70">
        <f>AW150+AX150</f>
        <v>0</v>
      </c>
      <c r="AW150" s="70">
        <f>G150*AO150</f>
        <v>0</v>
      </c>
      <c r="AX150" s="70">
        <f>G150*AP150</f>
        <v>0</v>
      </c>
      <c r="AY150" s="71" t="s">
        <v>283</v>
      </c>
      <c r="AZ150" s="71" t="s">
        <v>376</v>
      </c>
      <c r="BA150" s="67" t="s">
        <v>283</v>
      </c>
      <c r="BC150" s="70">
        <f>AW150+AX150</f>
        <v>0</v>
      </c>
      <c r="BD150" s="70">
        <f>H150/(100-BE150)*100</f>
        <v>0</v>
      </c>
      <c r="BE150" s="70">
        <v>0</v>
      </c>
      <c r="BF150" s="70">
        <f>150</f>
        <v>150</v>
      </c>
      <c r="BH150" s="70">
        <f>G150*AO150</f>
        <v>0</v>
      </c>
      <c r="BI150" s="70">
        <f>G150*AP150</f>
        <v>0</v>
      </c>
      <c r="BJ150" s="70">
        <f>G150*H150</f>
        <v>0</v>
      </c>
    </row>
    <row r="151" spans="1:62" ht="15">
      <c r="A151" s="69" t="s">
        <v>380</v>
      </c>
      <c r="B151" s="69" t="s">
        <v>325</v>
      </c>
      <c r="C151" s="696" t="s">
        <v>326</v>
      </c>
      <c r="D151" s="693"/>
      <c r="E151" s="693"/>
      <c r="F151" s="69" t="s">
        <v>253</v>
      </c>
      <c r="G151" s="70">
        <v>60.8</v>
      </c>
      <c r="H151" s="580">
        <v>0</v>
      </c>
      <c r="I151" s="70">
        <f>G151*AO151</f>
        <v>0</v>
      </c>
      <c r="J151" s="70">
        <f>G151*AP151</f>
        <v>0</v>
      </c>
      <c r="K151" s="70">
        <f>G151*H151</f>
        <v>0</v>
      </c>
      <c r="L151" s="71" t="s">
        <v>282</v>
      </c>
      <c r="Z151" s="70">
        <f>IF(AQ151="5",BJ151,0)</f>
        <v>0</v>
      </c>
      <c r="AB151" s="70">
        <f>IF(AQ151="1",BH151,0)</f>
        <v>0</v>
      </c>
      <c r="AC151" s="70">
        <f>IF(AQ151="1",BI151,0)</f>
        <v>0</v>
      </c>
      <c r="AD151" s="70">
        <f>IF(AQ151="7",BH151,0)</f>
        <v>0</v>
      </c>
      <c r="AE151" s="70">
        <f>IF(AQ151="7",BI151,0)</f>
        <v>0</v>
      </c>
      <c r="AF151" s="70">
        <f>IF(AQ151="2",BH151,0)</f>
        <v>0</v>
      </c>
      <c r="AG151" s="70">
        <f>IF(AQ151="2",BI151,0)</f>
        <v>0</v>
      </c>
      <c r="AH151" s="70">
        <f>IF(AQ151="0",BJ151,0)</f>
        <v>0</v>
      </c>
      <c r="AI151" s="67" t="s">
        <v>169</v>
      </c>
      <c r="AJ151" s="70">
        <f>IF(AN151=0,K151,0)</f>
        <v>0</v>
      </c>
      <c r="AK151" s="70">
        <f>IF(AN151=15,K151,0)</f>
        <v>0</v>
      </c>
      <c r="AL151" s="70">
        <f>IF(AN151=21,K151,0)</f>
        <v>0</v>
      </c>
      <c r="AN151" s="70">
        <v>21</v>
      </c>
      <c r="AO151" s="70">
        <f>H151*0</f>
        <v>0</v>
      </c>
      <c r="AP151" s="70">
        <f>H151*(1-0)</f>
        <v>0</v>
      </c>
      <c r="AQ151" s="71" t="s">
        <v>106</v>
      </c>
      <c r="AV151" s="70">
        <f>AW151+AX151</f>
        <v>0</v>
      </c>
      <c r="AW151" s="70">
        <f>G151*AO151</f>
        <v>0</v>
      </c>
      <c r="AX151" s="70">
        <f>G151*AP151</f>
        <v>0</v>
      </c>
      <c r="AY151" s="71" t="s">
        <v>283</v>
      </c>
      <c r="AZ151" s="71" t="s">
        <v>376</v>
      </c>
      <c r="BA151" s="67" t="s">
        <v>283</v>
      </c>
      <c r="BC151" s="70">
        <f>AW151+AX151</f>
        <v>0</v>
      </c>
      <c r="BD151" s="70">
        <f>H151/(100-BE151)*100</f>
        <v>0</v>
      </c>
      <c r="BE151" s="70">
        <v>0</v>
      </c>
      <c r="BF151" s="70">
        <f>151</f>
        <v>151</v>
      </c>
      <c r="BH151" s="70">
        <f>G151*AO151</f>
        <v>0</v>
      </c>
      <c r="BI151" s="70">
        <f>G151*AP151</f>
        <v>0</v>
      </c>
      <c r="BJ151" s="70">
        <f>G151*H151</f>
        <v>0</v>
      </c>
    </row>
    <row r="152" spans="1:47" ht="15">
      <c r="A152" s="88"/>
      <c r="B152" s="89" t="s">
        <v>314</v>
      </c>
      <c r="C152" s="710" t="s">
        <v>327</v>
      </c>
      <c r="D152" s="711"/>
      <c r="E152" s="711"/>
      <c r="F152" s="88" t="s">
        <v>70</v>
      </c>
      <c r="G152" s="88" t="s">
        <v>70</v>
      </c>
      <c r="H152" s="88" t="s">
        <v>70</v>
      </c>
      <c r="I152" s="90">
        <f>SUM(I153:I160)</f>
        <v>0</v>
      </c>
      <c r="J152" s="90">
        <f>SUM(J153:J160)</f>
        <v>0</v>
      </c>
      <c r="K152" s="90">
        <f>SUM(K153:K160)</f>
        <v>0</v>
      </c>
      <c r="L152" s="91"/>
      <c r="AI152" s="67" t="s">
        <v>169</v>
      </c>
      <c r="AS152" s="68">
        <f>SUM(AJ153:AJ160)</f>
        <v>0</v>
      </c>
      <c r="AT152" s="68">
        <f>SUM(AK153:AK160)</f>
        <v>0</v>
      </c>
      <c r="AU152" s="68">
        <f>SUM(AL153:AL160)</f>
        <v>0</v>
      </c>
    </row>
    <row r="153" spans="1:62" ht="15">
      <c r="A153" s="69" t="s">
        <v>381</v>
      </c>
      <c r="B153" s="69" t="s">
        <v>329</v>
      </c>
      <c r="C153" s="696" t="s">
        <v>330</v>
      </c>
      <c r="D153" s="693"/>
      <c r="E153" s="693"/>
      <c r="F153" s="69" t="s">
        <v>253</v>
      </c>
      <c r="G153" s="70">
        <v>5.9</v>
      </c>
      <c r="H153" s="580">
        <v>0</v>
      </c>
      <c r="I153" s="70">
        <f>G153*AO153</f>
        <v>0</v>
      </c>
      <c r="J153" s="70">
        <f>G153*AP153</f>
        <v>0</v>
      </c>
      <c r="K153" s="70">
        <f>G153*H153</f>
        <v>0</v>
      </c>
      <c r="L153" s="71" t="s">
        <v>282</v>
      </c>
      <c r="Z153" s="70">
        <f>IF(AQ153="5",BJ153,0)</f>
        <v>0</v>
      </c>
      <c r="AB153" s="70">
        <f>IF(AQ153="1",BH153,0)</f>
        <v>0</v>
      </c>
      <c r="AC153" s="70">
        <f>IF(AQ153="1",BI153,0)</f>
        <v>0</v>
      </c>
      <c r="AD153" s="70">
        <f>IF(AQ153="7",BH153,0)</f>
        <v>0</v>
      </c>
      <c r="AE153" s="70">
        <f>IF(AQ153="7",BI153,0)</f>
        <v>0</v>
      </c>
      <c r="AF153" s="70">
        <f>IF(AQ153="2",BH153,0)</f>
        <v>0</v>
      </c>
      <c r="AG153" s="70">
        <f>IF(AQ153="2",BI153,0)</f>
        <v>0</v>
      </c>
      <c r="AH153" s="70">
        <f>IF(AQ153="0",BJ153,0)</f>
        <v>0</v>
      </c>
      <c r="AI153" s="67" t="s">
        <v>169</v>
      </c>
      <c r="AJ153" s="70">
        <f>IF(AN153=0,K153,0)</f>
        <v>0</v>
      </c>
      <c r="AK153" s="70">
        <f>IF(AN153=15,K153,0)</f>
        <v>0</v>
      </c>
      <c r="AL153" s="70">
        <f>IF(AN153=21,K153,0)</f>
        <v>0</v>
      </c>
      <c r="AN153" s="70">
        <v>21</v>
      </c>
      <c r="AO153" s="70">
        <f>H153*0</f>
        <v>0</v>
      </c>
      <c r="AP153" s="70">
        <f>H153*(1-0)</f>
        <v>0</v>
      </c>
      <c r="AQ153" s="71" t="s">
        <v>106</v>
      </c>
      <c r="AV153" s="70">
        <f>AW153+AX153</f>
        <v>0</v>
      </c>
      <c r="AW153" s="70">
        <f>G153*AO153</f>
        <v>0</v>
      </c>
      <c r="AX153" s="70">
        <f>G153*AP153</f>
        <v>0</v>
      </c>
      <c r="AY153" s="71" t="s">
        <v>331</v>
      </c>
      <c r="AZ153" s="71" t="s">
        <v>382</v>
      </c>
      <c r="BA153" s="67" t="s">
        <v>283</v>
      </c>
      <c r="BC153" s="70">
        <f>AW153+AX153</f>
        <v>0</v>
      </c>
      <c r="BD153" s="70">
        <f>H153/(100-BE153)*100</f>
        <v>0</v>
      </c>
      <c r="BE153" s="70">
        <v>0</v>
      </c>
      <c r="BF153" s="70">
        <f>153</f>
        <v>153</v>
      </c>
      <c r="BH153" s="70">
        <f>G153*AO153</f>
        <v>0</v>
      </c>
      <c r="BI153" s="70">
        <f>G153*AP153</f>
        <v>0</v>
      </c>
      <c r="BJ153" s="70">
        <f>G153*H153</f>
        <v>0</v>
      </c>
    </row>
    <row r="154" spans="2:12" ht="12.75" customHeight="1">
      <c r="B154" s="75" t="s">
        <v>67</v>
      </c>
      <c r="C154" s="725" t="s">
        <v>383</v>
      </c>
      <c r="D154" s="726"/>
      <c r="E154" s="726"/>
      <c r="F154" s="726"/>
      <c r="G154" s="726"/>
      <c r="H154" s="726"/>
      <c r="I154" s="726"/>
      <c r="J154" s="726"/>
      <c r="K154" s="726"/>
      <c r="L154" s="726"/>
    </row>
    <row r="155" spans="1:62" ht="15">
      <c r="A155" s="69" t="s">
        <v>384</v>
      </c>
      <c r="B155" s="69" t="s">
        <v>335</v>
      </c>
      <c r="C155" s="696" t="s">
        <v>336</v>
      </c>
      <c r="D155" s="693"/>
      <c r="E155" s="693"/>
      <c r="F155" s="69" t="s">
        <v>337</v>
      </c>
      <c r="G155" s="70">
        <v>180</v>
      </c>
      <c r="H155" s="580">
        <v>0</v>
      </c>
      <c r="I155" s="70">
        <f>G155*AO155</f>
        <v>0</v>
      </c>
      <c r="J155" s="70">
        <f>G155*AP155</f>
        <v>0</v>
      </c>
      <c r="K155" s="70">
        <f>G155*H155</f>
        <v>0</v>
      </c>
      <c r="L155" s="71"/>
      <c r="Z155" s="70">
        <f>IF(AQ155="5",BJ155,0)</f>
        <v>0</v>
      </c>
      <c r="AB155" s="70">
        <f>IF(AQ155="1",BH155,0)</f>
        <v>0</v>
      </c>
      <c r="AC155" s="70">
        <f>IF(AQ155="1",BI155,0)</f>
        <v>0</v>
      </c>
      <c r="AD155" s="70">
        <f>IF(AQ155="7",BH155,0)</f>
        <v>0</v>
      </c>
      <c r="AE155" s="70">
        <f>IF(AQ155="7",BI155,0)</f>
        <v>0</v>
      </c>
      <c r="AF155" s="70">
        <f>IF(AQ155="2",BH155,0)</f>
        <v>0</v>
      </c>
      <c r="AG155" s="70">
        <f>IF(AQ155="2",BI155,0)</f>
        <v>0</v>
      </c>
      <c r="AH155" s="70">
        <f>IF(AQ155="0",BJ155,0)</f>
        <v>0</v>
      </c>
      <c r="AI155" s="67" t="s">
        <v>169</v>
      </c>
      <c r="AJ155" s="70">
        <f>IF(AN155=0,K155,0)</f>
        <v>0</v>
      </c>
      <c r="AK155" s="70">
        <f>IF(AN155=15,K155,0)</f>
        <v>0</v>
      </c>
      <c r="AL155" s="70">
        <f>IF(AN155=21,K155,0)</f>
        <v>0</v>
      </c>
      <c r="AN155" s="70">
        <v>21</v>
      </c>
      <c r="AO155" s="70">
        <f>H155*0</f>
        <v>0</v>
      </c>
      <c r="AP155" s="70">
        <f>H155*(1-0)</f>
        <v>0</v>
      </c>
      <c r="AQ155" s="71" t="s">
        <v>124</v>
      </c>
      <c r="AV155" s="70">
        <f>AW155+AX155</f>
        <v>0</v>
      </c>
      <c r="AW155" s="70">
        <f>G155*AO155</f>
        <v>0</v>
      </c>
      <c r="AX155" s="70">
        <f>G155*AP155</f>
        <v>0</v>
      </c>
      <c r="AY155" s="71" t="s">
        <v>331</v>
      </c>
      <c r="AZ155" s="71" t="s">
        <v>382</v>
      </c>
      <c r="BA155" s="67" t="s">
        <v>283</v>
      </c>
      <c r="BC155" s="70">
        <f>AW155+AX155</f>
        <v>0</v>
      </c>
      <c r="BD155" s="70">
        <f>H155/(100-BE155)*100</f>
        <v>0</v>
      </c>
      <c r="BE155" s="70">
        <v>0</v>
      </c>
      <c r="BF155" s="70">
        <f>155</f>
        <v>155</v>
      </c>
      <c r="BH155" s="70">
        <f>G155*AO155</f>
        <v>0</v>
      </c>
      <c r="BI155" s="70">
        <f>G155*AP155</f>
        <v>0</v>
      </c>
      <c r="BJ155" s="70">
        <f>G155*H155</f>
        <v>0</v>
      </c>
    </row>
    <row r="156" spans="2:12" ht="38.7" customHeight="1">
      <c r="B156" s="75" t="s">
        <v>67</v>
      </c>
      <c r="C156" s="725" t="s">
        <v>385</v>
      </c>
      <c r="D156" s="726"/>
      <c r="E156" s="726"/>
      <c r="F156" s="726"/>
      <c r="G156" s="726"/>
      <c r="H156" s="726"/>
      <c r="I156" s="726"/>
      <c r="J156" s="726"/>
      <c r="K156" s="726"/>
      <c r="L156" s="726"/>
    </row>
    <row r="157" spans="1:62" ht="15">
      <c r="A157" s="69" t="s">
        <v>386</v>
      </c>
      <c r="B157" s="69" t="s">
        <v>387</v>
      </c>
      <c r="C157" s="696" t="s">
        <v>388</v>
      </c>
      <c r="D157" s="693"/>
      <c r="E157" s="693"/>
      <c r="F157" s="69" t="s">
        <v>253</v>
      </c>
      <c r="G157" s="70">
        <v>39.2</v>
      </c>
      <c r="H157" s="580">
        <v>0</v>
      </c>
      <c r="I157" s="70">
        <f>G157*AO157</f>
        <v>0</v>
      </c>
      <c r="J157" s="70">
        <f>G157*AP157</f>
        <v>0</v>
      </c>
      <c r="K157" s="70">
        <f>G157*H157</f>
        <v>0</v>
      </c>
      <c r="L157" s="71" t="s">
        <v>120</v>
      </c>
      <c r="Z157" s="70">
        <f>IF(AQ157="5",BJ157,0)</f>
        <v>0</v>
      </c>
      <c r="AB157" s="70">
        <f>IF(AQ157="1",BH157,0)</f>
        <v>0</v>
      </c>
      <c r="AC157" s="70">
        <f>IF(AQ157="1",BI157,0)</f>
        <v>0</v>
      </c>
      <c r="AD157" s="70">
        <f>IF(AQ157="7",BH157,0)</f>
        <v>0</v>
      </c>
      <c r="AE157" s="70">
        <f>IF(AQ157="7",BI157,0)</f>
        <v>0</v>
      </c>
      <c r="AF157" s="70">
        <f>IF(AQ157="2",BH157,0)</f>
        <v>0</v>
      </c>
      <c r="AG157" s="70">
        <f>IF(AQ157="2",BI157,0)</f>
        <v>0</v>
      </c>
      <c r="AH157" s="70">
        <f>IF(AQ157="0",BJ157,0)</f>
        <v>0</v>
      </c>
      <c r="AI157" s="67" t="s">
        <v>169</v>
      </c>
      <c r="AJ157" s="70">
        <f>IF(AN157=0,K157,0)</f>
        <v>0</v>
      </c>
      <c r="AK157" s="70">
        <f>IF(AN157=15,K157,0)</f>
        <v>0</v>
      </c>
      <c r="AL157" s="70">
        <f>IF(AN157=21,K157,0)</f>
        <v>0</v>
      </c>
      <c r="AN157" s="70">
        <v>21</v>
      </c>
      <c r="AO157" s="70">
        <f>H157*0.44716</f>
        <v>0</v>
      </c>
      <c r="AP157" s="70">
        <f>H157*(1-0.44716)</f>
        <v>0</v>
      </c>
      <c r="AQ157" s="71" t="s">
        <v>106</v>
      </c>
      <c r="AV157" s="70">
        <f>AW157+AX157</f>
        <v>0</v>
      </c>
      <c r="AW157" s="70">
        <f>G157*AO157</f>
        <v>0</v>
      </c>
      <c r="AX157" s="70">
        <f>G157*AP157</f>
        <v>0</v>
      </c>
      <c r="AY157" s="71" t="s">
        <v>331</v>
      </c>
      <c r="AZ157" s="71" t="s">
        <v>382</v>
      </c>
      <c r="BA157" s="67" t="s">
        <v>283</v>
      </c>
      <c r="BC157" s="70">
        <f>AW157+AX157</f>
        <v>0</v>
      </c>
      <c r="BD157" s="70">
        <f>H157/(100-BE157)*100</f>
        <v>0</v>
      </c>
      <c r="BE157" s="70">
        <v>0</v>
      </c>
      <c r="BF157" s="70">
        <f>157</f>
        <v>157</v>
      </c>
      <c r="BH157" s="70">
        <f>G157*AO157</f>
        <v>0</v>
      </c>
      <c r="BI157" s="70">
        <f>G157*AP157</f>
        <v>0</v>
      </c>
      <c r="BJ157" s="70">
        <f>G157*H157</f>
        <v>0</v>
      </c>
    </row>
    <row r="158" spans="1:62" ht="15">
      <c r="A158" s="69" t="s">
        <v>389</v>
      </c>
      <c r="B158" s="69" t="s">
        <v>390</v>
      </c>
      <c r="C158" s="696" t="s">
        <v>391</v>
      </c>
      <c r="D158" s="693"/>
      <c r="E158" s="693"/>
      <c r="F158" s="69" t="s">
        <v>109</v>
      </c>
      <c r="G158" s="70">
        <v>142.4</v>
      </c>
      <c r="H158" s="580">
        <v>0</v>
      </c>
      <c r="I158" s="70">
        <f>G158*AO158</f>
        <v>0</v>
      </c>
      <c r="J158" s="70">
        <f>G158*AP158</f>
        <v>0</v>
      </c>
      <c r="K158" s="70">
        <f>G158*H158</f>
        <v>0</v>
      </c>
      <c r="L158" s="71" t="s">
        <v>120</v>
      </c>
      <c r="Z158" s="70">
        <f>IF(AQ158="5",BJ158,0)</f>
        <v>0</v>
      </c>
      <c r="AB158" s="70">
        <f>IF(AQ158="1",BH158,0)</f>
        <v>0</v>
      </c>
      <c r="AC158" s="70">
        <f>IF(AQ158="1",BI158,0)</f>
        <v>0</v>
      </c>
      <c r="AD158" s="70">
        <f>IF(AQ158="7",BH158,0)</f>
        <v>0</v>
      </c>
      <c r="AE158" s="70">
        <f>IF(AQ158="7",BI158,0)</f>
        <v>0</v>
      </c>
      <c r="AF158" s="70">
        <f>IF(AQ158="2",BH158,0)</f>
        <v>0</v>
      </c>
      <c r="AG158" s="70">
        <f>IF(AQ158="2",BI158,0)</f>
        <v>0</v>
      </c>
      <c r="AH158" s="70">
        <f>IF(AQ158="0",BJ158,0)</f>
        <v>0</v>
      </c>
      <c r="AI158" s="67" t="s">
        <v>169</v>
      </c>
      <c r="AJ158" s="70">
        <f>IF(AN158=0,K158,0)</f>
        <v>0</v>
      </c>
      <c r="AK158" s="70">
        <f>IF(AN158=15,K158,0)</f>
        <v>0</v>
      </c>
      <c r="AL158" s="70">
        <f>IF(AN158=21,K158,0)</f>
        <v>0</v>
      </c>
      <c r="AN158" s="70">
        <v>21</v>
      </c>
      <c r="AO158" s="70">
        <f>H158*0.475652173913043</f>
        <v>0</v>
      </c>
      <c r="AP158" s="70">
        <f>H158*(1-0.475652173913043)</f>
        <v>0</v>
      </c>
      <c r="AQ158" s="71" t="s">
        <v>106</v>
      </c>
      <c r="AV158" s="70">
        <f>AW158+AX158</f>
        <v>0</v>
      </c>
      <c r="AW158" s="70">
        <f>G158*AO158</f>
        <v>0</v>
      </c>
      <c r="AX158" s="70">
        <f>G158*AP158</f>
        <v>0</v>
      </c>
      <c r="AY158" s="71" t="s">
        <v>331</v>
      </c>
      <c r="AZ158" s="71" t="s">
        <v>382</v>
      </c>
      <c r="BA158" s="67" t="s">
        <v>283</v>
      </c>
      <c r="BC158" s="70">
        <f>AW158+AX158</f>
        <v>0</v>
      </c>
      <c r="BD158" s="70">
        <f>H158/(100-BE158)*100</f>
        <v>0</v>
      </c>
      <c r="BE158" s="70">
        <v>0</v>
      </c>
      <c r="BF158" s="70">
        <f>158</f>
        <v>158</v>
      </c>
      <c r="BH158" s="70">
        <f>G158*AO158</f>
        <v>0</v>
      </c>
      <c r="BI158" s="70">
        <f>G158*AP158</f>
        <v>0</v>
      </c>
      <c r="BJ158" s="70">
        <f>G158*H158</f>
        <v>0</v>
      </c>
    </row>
    <row r="159" spans="1:62" ht="15">
      <c r="A159" s="69" t="s">
        <v>392</v>
      </c>
      <c r="B159" s="69" t="s">
        <v>393</v>
      </c>
      <c r="C159" s="696" t="s">
        <v>394</v>
      </c>
      <c r="D159" s="693"/>
      <c r="E159" s="693"/>
      <c r="F159" s="69" t="s">
        <v>109</v>
      </c>
      <c r="G159" s="70">
        <v>213.6</v>
      </c>
      <c r="H159" s="580">
        <v>0</v>
      </c>
      <c r="I159" s="70">
        <f>G159*AO159</f>
        <v>0</v>
      </c>
      <c r="J159" s="70">
        <f>G159*AP159</f>
        <v>0</v>
      </c>
      <c r="K159" s="70">
        <f>G159*H159</f>
        <v>0</v>
      </c>
      <c r="L159" s="71" t="s">
        <v>120</v>
      </c>
      <c r="Z159" s="70">
        <f>IF(AQ159="5",BJ159,0)</f>
        <v>0</v>
      </c>
      <c r="AB159" s="70">
        <f>IF(AQ159="1",BH159,0)</f>
        <v>0</v>
      </c>
      <c r="AC159" s="70">
        <f>IF(AQ159="1",BI159,0)</f>
        <v>0</v>
      </c>
      <c r="AD159" s="70">
        <f>IF(AQ159="7",BH159,0)</f>
        <v>0</v>
      </c>
      <c r="AE159" s="70">
        <f>IF(AQ159="7",BI159,0)</f>
        <v>0</v>
      </c>
      <c r="AF159" s="70">
        <f>IF(AQ159="2",BH159,0)</f>
        <v>0</v>
      </c>
      <c r="AG159" s="70">
        <f>IF(AQ159="2",BI159,0)</f>
        <v>0</v>
      </c>
      <c r="AH159" s="70">
        <f>IF(AQ159="0",BJ159,0)</f>
        <v>0</v>
      </c>
      <c r="AI159" s="67" t="s">
        <v>169</v>
      </c>
      <c r="AJ159" s="70">
        <f>IF(AN159=0,K159,0)</f>
        <v>0</v>
      </c>
      <c r="AK159" s="70">
        <f>IF(AN159=15,K159,0)</f>
        <v>0</v>
      </c>
      <c r="AL159" s="70">
        <f>IF(AN159=21,K159,0)</f>
        <v>0</v>
      </c>
      <c r="AN159" s="70">
        <v>21</v>
      </c>
      <c r="AO159" s="70">
        <f>H159*0.408410914927769</f>
        <v>0</v>
      </c>
      <c r="AP159" s="70">
        <f>H159*(1-0.408410914927769)</f>
        <v>0</v>
      </c>
      <c r="AQ159" s="71" t="s">
        <v>106</v>
      </c>
      <c r="AV159" s="70">
        <f>AW159+AX159</f>
        <v>0</v>
      </c>
      <c r="AW159" s="70">
        <f>G159*AO159</f>
        <v>0</v>
      </c>
      <c r="AX159" s="70">
        <f>G159*AP159</f>
        <v>0</v>
      </c>
      <c r="AY159" s="71" t="s">
        <v>331</v>
      </c>
      <c r="AZ159" s="71" t="s">
        <v>382</v>
      </c>
      <c r="BA159" s="67" t="s">
        <v>283</v>
      </c>
      <c r="BC159" s="70">
        <f>AW159+AX159</f>
        <v>0</v>
      </c>
      <c r="BD159" s="70">
        <f>H159/(100-BE159)*100</f>
        <v>0</v>
      </c>
      <c r="BE159" s="70">
        <v>0</v>
      </c>
      <c r="BF159" s="70">
        <f>159</f>
        <v>159</v>
      </c>
      <c r="BH159" s="70">
        <f>G159*AO159</f>
        <v>0</v>
      </c>
      <c r="BI159" s="70">
        <f>G159*AP159</f>
        <v>0</v>
      </c>
      <c r="BJ159" s="70">
        <f>G159*H159</f>
        <v>0</v>
      </c>
    </row>
    <row r="160" spans="1:62" ht="15">
      <c r="A160" s="69" t="s">
        <v>395</v>
      </c>
      <c r="B160" s="69" t="s">
        <v>396</v>
      </c>
      <c r="C160" s="696" t="s">
        <v>397</v>
      </c>
      <c r="D160" s="693"/>
      <c r="E160" s="693"/>
      <c r="F160" s="69" t="s">
        <v>109</v>
      </c>
      <c r="G160" s="70">
        <v>71.2</v>
      </c>
      <c r="H160" s="580">
        <v>0</v>
      </c>
      <c r="I160" s="70">
        <f>G160*AO160</f>
        <v>0</v>
      </c>
      <c r="J160" s="70">
        <f>G160*AP160</f>
        <v>0</v>
      </c>
      <c r="K160" s="70">
        <f>G160*H160</f>
        <v>0</v>
      </c>
      <c r="L160" s="71" t="s">
        <v>120</v>
      </c>
      <c r="Z160" s="70">
        <f>IF(AQ160="5",BJ160,0)</f>
        <v>0</v>
      </c>
      <c r="AB160" s="70">
        <f>IF(AQ160="1",BH160,0)</f>
        <v>0</v>
      </c>
      <c r="AC160" s="70">
        <f>IF(AQ160="1",BI160,0)</f>
        <v>0</v>
      </c>
      <c r="AD160" s="70">
        <f>IF(AQ160="7",BH160,0)</f>
        <v>0</v>
      </c>
      <c r="AE160" s="70">
        <f>IF(AQ160="7",BI160,0)</f>
        <v>0</v>
      </c>
      <c r="AF160" s="70">
        <f>IF(AQ160="2",BH160,0)</f>
        <v>0</v>
      </c>
      <c r="AG160" s="70">
        <f>IF(AQ160="2",BI160,0)</f>
        <v>0</v>
      </c>
      <c r="AH160" s="70">
        <f>IF(AQ160="0",BJ160,0)</f>
        <v>0</v>
      </c>
      <c r="AI160" s="67" t="s">
        <v>169</v>
      </c>
      <c r="AJ160" s="70">
        <f>IF(AN160=0,K160,0)</f>
        <v>0</v>
      </c>
      <c r="AK160" s="70">
        <f>IF(AN160=15,K160,0)</f>
        <v>0</v>
      </c>
      <c r="AL160" s="70">
        <f>IF(AN160=21,K160,0)</f>
        <v>0</v>
      </c>
      <c r="AN160" s="70">
        <v>21</v>
      </c>
      <c r="AO160" s="70">
        <f>H160*0.460483870967742</f>
        <v>0</v>
      </c>
      <c r="AP160" s="70">
        <f>H160*(1-0.460483870967742)</f>
        <v>0</v>
      </c>
      <c r="AQ160" s="71" t="s">
        <v>114</v>
      </c>
      <c r="AV160" s="70">
        <f>AW160+AX160</f>
        <v>0</v>
      </c>
      <c r="AW160" s="70">
        <f>G160*AO160</f>
        <v>0</v>
      </c>
      <c r="AX160" s="70">
        <f>G160*AP160</f>
        <v>0</v>
      </c>
      <c r="AY160" s="71" t="s">
        <v>331</v>
      </c>
      <c r="AZ160" s="71" t="s">
        <v>382</v>
      </c>
      <c r="BA160" s="67" t="s">
        <v>283</v>
      </c>
      <c r="BC160" s="70">
        <f>AW160+AX160</f>
        <v>0</v>
      </c>
      <c r="BD160" s="70">
        <f>H160/(100-BE160)*100</f>
        <v>0</v>
      </c>
      <c r="BE160" s="70">
        <v>0</v>
      </c>
      <c r="BF160" s="70">
        <f>160</f>
        <v>160</v>
      </c>
      <c r="BH160" s="70">
        <f>G160*AO160</f>
        <v>0</v>
      </c>
      <c r="BI160" s="70">
        <f>G160*AP160</f>
        <v>0</v>
      </c>
      <c r="BJ160" s="70">
        <f>G160*H160</f>
        <v>0</v>
      </c>
    </row>
    <row r="161" spans="2:12" ht="12.75" customHeight="1">
      <c r="B161" s="75" t="s">
        <v>67</v>
      </c>
      <c r="C161" s="725" t="s">
        <v>398</v>
      </c>
      <c r="D161" s="726"/>
      <c r="E161" s="726"/>
      <c r="F161" s="726"/>
      <c r="G161" s="726"/>
      <c r="H161" s="726"/>
      <c r="I161" s="726"/>
      <c r="J161" s="726"/>
      <c r="K161" s="726"/>
      <c r="L161" s="726"/>
    </row>
    <row r="162" spans="1:47" ht="15">
      <c r="A162" s="88"/>
      <c r="B162" s="89" t="s">
        <v>345</v>
      </c>
      <c r="C162" s="710" t="s">
        <v>346</v>
      </c>
      <c r="D162" s="711"/>
      <c r="E162" s="711"/>
      <c r="F162" s="88" t="s">
        <v>70</v>
      </c>
      <c r="G162" s="88" t="s">
        <v>70</v>
      </c>
      <c r="H162" s="88" t="s">
        <v>70</v>
      </c>
      <c r="I162" s="90">
        <f>SUM(I163:I163)</f>
        <v>0</v>
      </c>
      <c r="J162" s="90">
        <f>SUM(J163:J163)</f>
        <v>0</v>
      </c>
      <c r="K162" s="90">
        <f>SUM(K163:K163)</f>
        <v>0</v>
      </c>
      <c r="L162" s="91"/>
      <c r="AI162" s="67" t="s">
        <v>169</v>
      </c>
      <c r="AS162" s="68">
        <f>SUM(AJ163:AJ163)</f>
        <v>0</v>
      </c>
      <c r="AT162" s="68">
        <f>SUM(AK163:AK163)</f>
        <v>0</v>
      </c>
      <c r="AU162" s="68">
        <f>SUM(AL163:AL163)</f>
        <v>0</v>
      </c>
    </row>
    <row r="163" spans="1:62" ht="15">
      <c r="A163" s="72" t="s">
        <v>399</v>
      </c>
      <c r="B163" s="72" t="s">
        <v>348</v>
      </c>
      <c r="C163" s="712" t="s">
        <v>349</v>
      </c>
      <c r="D163" s="693"/>
      <c r="E163" s="713"/>
      <c r="F163" s="72" t="s">
        <v>132</v>
      </c>
      <c r="G163" s="73">
        <v>199</v>
      </c>
      <c r="H163" s="581">
        <v>0</v>
      </c>
      <c r="I163" s="73">
        <f>G163*AO163</f>
        <v>0</v>
      </c>
      <c r="J163" s="73">
        <f>G163*AP163</f>
        <v>0</v>
      </c>
      <c r="K163" s="73">
        <f>G163*H163</f>
        <v>0</v>
      </c>
      <c r="L163" s="74" t="s">
        <v>282</v>
      </c>
      <c r="Z163" s="70">
        <f>IF(AQ163="5",BJ163,0)</f>
        <v>0</v>
      </c>
      <c r="AB163" s="70">
        <f>IF(AQ163="1",BH163,0)</f>
        <v>0</v>
      </c>
      <c r="AC163" s="70">
        <f>IF(AQ163="1",BI163,0)</f>
        <v>0</v>
      </c>
      <c r="AD163" s="70">
        <f>IF(AQ163="7",BH163,0)</f>
        <v>0</v>
      </c>
      <c r="AE163" s="70">
        <f>IF(AQ163="7",BI163,0)</f>
        <v>0</v>
      </c>
      <c r="AF163" s="70">
        <f>IF(AQ163="2",BH163,0)</f>
        <v>0</v>
      </c>
      <c r="AG163" s="70">
        <f>IF(AQ163="2",BI163,0)</f>
        <v>0</v>
      </c>
      <c r="AH163" s="70">
        <f>IF(AQ163="0",BJ163,0)</f>
        <v>0</v>
      </c>
      <c r="AI163" s="67" t="s">
        <v>169</v>
      </c>
      <c r="AJ163" s="70">
        <f>IF(AN163=0,K163,0)</f>
        <v>0</v>
      </c>
      <c r="AK163" s="70">
        <f>IF(AN163=15,K163,0)</f>
        <v>0</v>
      </c>
      <c r="AL163" s="70">
        <f>IF(AN163=21,K163,0)</f>
        <v>0</v>
      </c>
      <c r="AN163" s="70">
        <v>21</v>
      </c>
      <c r="AO163" s="70">
        <f>H163*0</f>
        <v>0</v>
      </c>
      <c r="AP163" s="70">
        <f>H163*(1-0)</f>
        <v>0</v>
      </c>
      <c r="AQ163" s="71" t="s">
        <v>124</v>
      </c>
      <c r="AV163" s="70">
        <f>AW163+AX163</f>
        <v>0</v>
      </c>
      <c r="AW163" s="70">
        <f>G163*AO163</f>
        <v>0</v>
      </c>
      <c r="AX163" s="70">
        <f>G163*AP163</f>
        <v>0</v>
      </c>
      <c r="AY163" s="71" t="s">
        <v>350</v>
      </c>
      <c r="AZ163" s="71" t="s">
        <v>400</v>
      </c>
      <c r="BA163" s="67" t="s">
        <v>283</v>
      </c>
      <c r="BC163" s="70">
        <f>AW163+AX163</f>
        <v>0</v>
      </c>
      <c r="BD163" s="70">
        <f>H163/(100-BE163)*100</f>
        <v>0</v>
      </c>
      <c r="BE163" s="70">
        <v>0</v>
      </c>
      <c r="BF163" s="70">
        <f>163</f>
        <v>163</v>
      </c>
      <c r="BH163" s="70">
        <f>G163*AO163</f>
        <v>0</v>
      </c>
      <c r="BI163" s="70">
        <f>G163*AP163</f>
        <v>0</v>
      </c>
      <c r="BJ163" s="70">
        <f>G163*H163</f>
        <v>0</v>
      </c>
    </row>
    <row r="164" spans="1:47" ht="15">
      <c r="A164" s="88"/>
      <c r="B164" s="89"/>
      <c r="C164" s="710" t="s">
        <v>52</v>
      </c>
      <c r="D164" s="711"/>
      <c r="E164" s="711"/>
      <c r="F164" s="88" t="s">
        <v>70</v>
      </c>
      <c r="G164" s="88" t="s">
        <v>70</v>
      </c>
      <c r="H164" s="88" t="s">
        <v>70</v>
      </c>
      <c r="I164" s="90">
        <f>SUM(I165:I170)</f>
        <v>0</v>
      </c>
      <c r="J164" s="90">
        <f>SUM(J165:J170)</f>
        <v>0</v>
      </c>
      <c r="K164" s="90">
        <f>SUM(K165:K170)</f>
        <v>0</v>
      </c>
      <c r="L164" s="91"/>
      <c r="AI164" s="67" t="s">
        <v>169</v>
      </c>
      <c r="AS164" s="68">
        <f>SUM(AJ165:AJ170)</f>
        <v>0</v>
      </c>
      <c r="AT164" s="68">
        <f>SUM(AK165:AK170)</f>
        <v>0</v>
      </c>
      <c r="AU164" s="68">
        <f>SUM(AL165:AL170)</f>
        <v>0</v>
      </c>
    </row>
    <row r="165" spans="1:62" ht="15">
      <c r="A165" s="69" t="s">
        <v>401</v>
      </c>
      <c r="B165" s="69" t="s">
        <v>353</v>
      </c>
      <c r="C165" s="696" t="s">
        <v>402</v>
      </c>
      <c r="D165" s="693"/>
      <c r="E165" s="693"/>
      <c r="F165" s="69" t="s">
        <v>132</v>
      </c>
      <c r="G165" s="70">
        <v>9.7</v>
      </c>
      <c r="H165" s="580">
        <v>0</v>
      </c>
      <c r="I165" s="70">
        <f>G165*AO165</f>
        <v>0</v>
      </c>
      <c r="J165" s="70">
        <f>G165*AP165</f>
        <v>0</v>
      </c>
      <c r="K165" s="70">
        <f>G165*H165</f>
        <v>0</v>
      </c>
      <c r="L165" s="71" t="s">
        <v>282</v>
      </c>
      <c r="Z165" s="70">
        <f>IF(AQ165="5",BJ165,0)</f>
        <v>0</v>
      </c>
      <c r="AB165" s="70">
        <f>IF(AQ165="1",BH165,0)</f>
        <v>0</v>
      </c>
      <c r="AC165" s="70">
        <f>IF(AQ165="1",BI165,0)</f>
        <v>0</v>
      </c>
      <c r="AD165" s="70">
        <f>IF(AQ165="7",BH165,0)</f>
        <v>0</v>
      </c>
      <c r="AE165" s="70">
        <f>IF(AQ165="7",BI165,0)</f>
        <v>0</v>
      </c>
      <c r="AF165" s="70">
        <f>IF(AQ165="2",BH165,0)</f>
        <v>0</v>
      </c>
      <c r="AG165" s="70">
        <f>IF(AQ165="2",BI165,0)</f>
        <v>0</v>
      </c>
      <c r="AH165" s="70">
        <f>IF(AQ165="0",BJ165,0)</f>
        <v>0</v>
      </c>
      <c r="AI165" s="67" t="s">
        <v>169</v>
      </c>
      <c r="AJ165" s="70">
        <f>IF(AN165=0,K165,0)</f>
        <v>0</v>
      </c>
      <c r="AK165" s="70">
        <f>IF(AN165=15,K165,0)</f>
        <v>0</v>
      </c>
      <c r="AL165" s="70">
        <f>IF(AN165=21,K165,0)</f>
        <v>0</v>
      </c>
      <c r="AN165" s="70">
        <v>21</v>
      </c>
      <c r="AO165" s="70">
        <f>H165*1</f>
        <v>0</v>
      </c>
      <c r="AP165" s="70">
        <f>H165*(1-1)</f>
        <v>0</v>
      </c>
      <c r="AQ165" s="71" t="s">
        <v>355</v>
      </c>
      <c r="AV165" s="70">
        <f>AW165+AX165</f>
        <v>0</v>
      </c>
      <c r="AW165" s="70">
        <f>G165*AO165</f>
        <v>0</v>
      </c>
      <c r="AX165" s="70">
        <f>G165*AP165</f>
        <v>0</v>
      </c>
      <c r="AY165" s="71" t="s">
        <v>356</v>
      </c>
      <c r="AZ165" s="71" t="s">
        <v>403</v>
      </c>
      <c r="BA165" s="67" t="s">
        <v>283</v>
      </c>
      <c r="BC165" s="70">
        <f>AW165+AX165</f>
        <v>0</v>
      </c>
      <c r="BD165" s="70">
        <f>H165/(100-BE165)*100</f>
        <v>0</v>
      </c>
      <c r="BE165" s="70">
        <v>0</v>
      </c>
      <c r="BF165" s="70">
        <f>165</f>
        <v>165</v>
      </c>
      <c r="BH165" s="70">
        <f>G165*AO165</f>
        <v>0</v>
      </c>
      <c r="BI165" s="70">
        <f>G165*AP165</f>
        <v>0</v>
      </c>
      <c r="BJ165" s="70">
        <f>G165*H165</f>
        <v>0</v>
      </c>
    </row>
    <row r="166" spans="2:12" ht="12.75" customHeight="1">
      <c r="B166" s="75" t="s">
        <v>67</v>
      </c>
      <c r="C166" s="725" t="s">
        <v>358</v>
      </c>
      <c r="D166" s="726"/>
      <c r="E166" s="726"/>
      <c r="F166" s="726"/>
      <c r="G166" s="726"/>
      <c r="H166" s="726"/>
      <c r="I166" s="726"/>
      <c r="J166" s="726"/>
      <c r="K166" s="726"/>
      <c r="L166" s="726"/>
    </row>
    <row r="167" spans="1:62" ht="15">
      <c r="A167" s="69" t="s">
        <v>404</v>
      </c>
      <c r="B167" s="69" t="s">
        <v>405</v>
      </c>
      <c r="C167" s="696" t="s">
        <v>406</v>
      </c>
      <c r="D167" s="693"/>
      <c r="E167" s="693"/>
      <c r="F167" s="69" t="s">
        <v>407</v>
      </c>
      <c r="G167" s="70">
        <v>356</v>
      </c>
      <c r="H167" s="580">
        <v>0</v>
      </c>
      <c r="I167" s="70">
        <f>G167*AO167</f>
        <v>0</v>
      </c>
      <c r="J167" s="70">
        <f>G167*AP167</f>
        <v>0</v>
      </c>
      <c r="K167" s="70">
        <f>G167*H167</f>
        <v>0</v>
      </c>
      <c r="L167" s="71"/>
      <c r="Z167" s="70">
        <f>IF(AQ167="5",BJ167,0)</f>
        <v>0</v>
      </c>
      <c r="AB167" s="70">
        <f>IF(AQ167="1",BH167,0)</f>
        <v>0</v>
      </c>
      <c r="AC167" s="70">
        <f>IF(AQ167="1",BI167,0)</f>
        <v>0</v>
      </c>
      <c r="AD167" s="70">
        <f>IF(AQ167="7",BH167,0)</f>
        <v>0</v>
      </c>
      <c r="AE167" s="70">
        <f>IF(AQ167="7",BI167,0)</f>
        <v>0</v>
      </c>
      <c r="AF167" s="70">
        <f>IF(AQ167="2",BH167,0)</f>
        <v>0</v>
      </c>
      <c r="AG167" s="70">
        <f>IF(AQ167="2",BI167,0)</f>
        <v>0</v>
      </c>
      <c r="AH167" s="70">
        <f>IF(AQ167="0",BJ167,0)</f>
        <v>0</v>
      </c>
      <c r="AI167" s="67" t="s">
        <v>169</v>
      </c>
      <c r="AJ167" s="70">
        <f>IF(AN167=0,K167,0)</f>
        <v>0</v>
      </c>
      <c r="AK167" s="70">
        <f>IF(AN167=15,K167,0)</f>
        <v>0</v>
      </c>
      <c r="AL167" s="70">
        <f>IF(AN167=21,K167,0)</f>
        <v>0</v>
      </c>
      <c r="AN167" s="70">
        <v>21</v>
      </c>
      <c r="AO167" s="70">
        <f>H167*1</f>
        <v>0</v>
      </c>
      <c r="AP167" s="70">
        <f>H167*(1-1)</f>
        <v>0</v>
      </c>
      <c r="AQ167" s="71" t="s">
        <v>355</v>
      </c>
      <c r="AV167" s="70">
        <f>AW167+AX167</f>
        <v>0</v>
      </c>
      <c r="AW167" s="70">
        <f>G167*AO167</f>
        <v>0</v>
      </c>
      <c r="AX167" s="70">
        <f>G167*AP167</f>
        <v>0</v>
      </c>
      <c r="AY167" s="71" t="s">
        <v>356</v>
      </c>
      <c r="AZ167" s="71" t="s">
        <v>403</v>
      </c>
      <c r="BA167" s="67" t="s">
        <v>283</v>
      </c>
      <c r="BC167" s="70">
        <f>AW167+AX167</f>
        <v>0</v>
      </c>
      <c r="BD167" s="70">
        <f>H167/(100-BE167)*100</f>
        <v>0</v>
      </c>
      <c r="BE167" s="70">
        <v>0</v>
      </c>
      <c r="BF167" s="70">
        <f>167</f>
        <v>167</v>
      </c>
      <c r="BH167" s="70">
        <f>G167*AO167</f>
        <v>0</v>
      </c>
      <c r="BI167" s="70">
        <f>G167*AP167</f>
        <v>0</v>
      </c>
      <c r="BJ167" s="70">
        <f>G167*H167</f>
        <v>0</v>
      </c>
    </row>
    <row r="168" spans="1:62" ht="15">
      <c r="A168" s="72" t="s">
        <v>408</v>
      </c>
      <c r="B168" s="72" t="s">
        <v>370</v>
      </c>
      <c r="C168" s="712" t="s">
        <v>409</v>
      </c>
      <c r="D168" s="693"/>
      <c r="E168" s="713"/>
      <c r="F168" s="72" t="s">
        <v>109</v>
      </c>
      <c r="G168" s="73">
        <v>74.8</v>
      </c>
      <c r="H168" s="581">
        <v>0</v>
      </c>
      <c r="I168" s="73">
        <f>G168*AO168</f>
        <v>0</v>
      </c>
      <c r="J168" s="73">
        <f>G168*AP168</f>
        <v>0</v>
      </c>
      <c r="K168" s="73">
        <f>G168*H168</f>
        <v>0</v>
      </c>
      <c r="L168" s="74" t="s">
        <v>120</v>
      </c>
      <c r="Z168" s="70">
        <f>IF(AQ168="5",BJ168,0)</f>
        <v>0</v>
      </c>
      <c r="AB168" s="70">
        <f>IF(AQ168="1",BH168,0)</f>
        <v>0</v>
      </c>
      <c r="AC168" s="70">
        <f>IF(AQ168="1",BI168,0)</f>
        <v>0</v>
      </c>
      <c r="AD168" s="70">
        <f>IF(AQ168="7",BH168,0)</f>
        <v>0</v>
      </c>
      <c r="AE168" s="70">
        <f>IF(AQ168="7",BI168,0)</f>
        <v>0</v>
      </c>
      <c r="AF168" s="70">
        <f>IF(AQ168="2",BH168,0)</f>
        <v>0</v>
      </c>
      <c r="AG168" s="70">
        <f>IF(AQ168="2",BI168,0)</f>
        <v>0</v>
      </c>
      <c r="AH168" s="70">
        <f>IF(AQ168="0",BJ168,0)</f>
        <v>0</v>
      </c>
      <c r="AI168" s="67" t="s">
        <v>169</v>
      </c>
      <c r="AJ168" s="70">
        <f>IF(AN168=0,K168,0)</f>
        <v>0</v>
      </c>
      <c r="AK168" s="70">
        <f>IF(AN168=15,K168,0)</f>
        <v>0</v>
      </c>
      <c r="AL168" s="70">
        <f>IF(AN168=21,K168,0)</f>
        <v>0</v>
      </c>
      <c r="AN168" s="70">
        <v>21</v>
      </c>
      <c r="AO168" s="70">
        <f>H168*1</f>
        <v>0</v>
      </c>
      <c r="AP168" s="70">
        <f>H168*(1-1)</f>
        <v>0</v>
      </c>
      <c r="AQ168" s="71" t="s">
        <v>355</v>
      </c>
      <c r="AV168" s="70">
        <f>AW168+AX168</f>
        <v>0</v>
      </c>
      <c r="AW168" s="70">
        <f>G168*AO168</f>
        <v>0</v>
      </c>
      <c r="AX168" s="70">
        <f>G168*AP168</f>
        <v>0</v>
      </c>
      <c r="AY168" s="71" t="s">
        <v>356</v>
      </c>
      <c r="AZ168" s="71" t="s">
        <v>403</v>
      </c>
      <c r="BA168" s="67" t="s">
        <v>283</v>
      </c>
      <c r="BC168" s="70">
        <f>AW168+AX168</f>
        <v>0</v>
      </c>
      <c r="BD168" s="70">
        <f>H168/(100-BE168)*100</f>
        <v>0</v>
      </c>
      <c r="BE168" s="70">
        <v>0</v>
      </c>
      <c r="BF168" s="70">
        <f>168</f>
        <v>168</v>
      </c>
      <c r="BH168" s="70">
        <f>G168*AO168</f>
        <v>0</v>
      </c>
      <c r="BI168" s="70">
        <f>G168*AP168</f>
        <v>0</v>
      </c>
      <c r="BJ168" s="70">
        <f>G168*H168</f>
        <v>0</v>
      </c>
    </row>
    <row r="169" spans="2:12" ht="12.75" customHeight="1">
      <c r="B169" s="75" t="s">
        <v>67</v>
      </c>
      <c r="C169" s="725" t="s">
        <v>410</v>
      </c>
      <c r="D169" s="726"/>
      <c r="E169" s="726"/>
      <c r="F169" s="726"/>
      <c r="G169" s="726"/>
      <c r="H169" s="726"/>
      <c r="I169" s="726"/>
      <c r="J169" s="726"/>
      <c r="K169" s="726"/>
      <c r="L169" s="726"/>
    </row>
    <row r="170" spans="1:62" ht="15">
      <c r="A170" s="69" t="s">
        <v>411</v>
      </c>
      <c r="B170" s="69" t="s">
        <v>412</v>
      </c>
      <c r="C170" s="696" t="s">
        <v>413</v>
      </c>
      <c r="D170" s="693"/>
      <c r="E170" s="693"/>
      <c r="F170" s="69" t="s">
        <v>407</v>
      </c>
      <c r="G170" s="70">
        <v>28.5</v>
      </c>
      <c r="H170" s="580">
        <v>0</v>
      </c>
      <c r="I170" s="70">
        <f>G170*AO170</f>
        <v>0</v>
      </c>
      <c r="J170" s="70">
        <f>G170*AP170</f>
        <v>0</v>
      </c>
      <c r="K170" s="70">
        <f>G170*H170</f>
        <v>0</v>
      </c>
      <c r="L170" s="71"/>
      <c r="Z170" s="70">
        <f>IF(AQ170="5",BJ170,0)</f>
        <v>0</v>
      </c>
      <c r="AB170" s="70">
        <f>IF(AQ170="1",BH170,0)</f>
        <v>0</v>
      </c>
      <c r="AC170" s="70">
        <f>IF(AQ170="1",BI170,0)</f>
        <v>0</v>
      </c>
      <c r="AD170" s="70">
        <f>IF(AQ170="7",BH170,0)</f>
        <v>0</v>
      </c>
      <c r="AE170" s="70">
        <f>IF(AQ170="7",BI170,0)</f>
        <v>0</v>
      </c>
      <c r="AF170" s="70">
        <f>IF(AQ170="2",BH170,0)</f>
        <v>0</v>
      </c>
      <c r="AG170" s="70">
        <f>IF(AQ170="2",BI170,0)</f>
        <v>0</v>
      </c>
      <c r="AH170" s="70">
        <f>IF(AQ170="0",BJ170,0)</f>
        <v>0</v>
      </c>
      <c r="AI170" s="67" t="s">
        <v>169</v>
      </c>
      <c r="AJ170" s="70">
        <f>IF(AN170=0,K170,0)</f>
        <v>0</v>
      </c>
      <c r="AK170" s="70">
        <f>IF(AN170=15,K170,0)</f>
        <v>0</v>
      </c>
      <c r="AL170" s="70">
        <f>IF(AN170=21,K170,0)</f>
        <v>0</v>
      </c>
      <c r="AN170" s="70">
        <v>21</v>
      </c>
      <c r="AO170" s="70">
        <f>H170*1</f>
        <v>0</v>
      </c>
      <c r="AP170" s="70">
        <f>H170*(1-1)</f>
        <v>0</v>
      </c>
      <c r="AQ170" s="71" t="s">
        <v>355</v>
      </c>
      <c r="AV170" s="70">
        <f>AW170+AX170</f>
        <v>0</v>
      </c>
      <c r="AW170" s="70">
        <f>G170*AO170</f>
        <v>0</v>
      </c>
      <c r="AX170" s="70">
        <f>G170*AP170</f>
        <v>0</v>
      </c>
      <c r="AY170" s="71" t="s">
        <v>356</v>
      </c>
      <c r="AZ170" s="71" t="s">
        <v>403</v>
      </c>
      <c r="BA170" s="67" t="s">
        <v>283</v>
      </c>
      <c r="BC170" s="70">
        <f>AW170+AX170</f>
        <v>0</v>
      </c>
      <c r="BD170" s="70">
        <f>H170/(100-BE170)*100</f>
        <v>0</v>
      </c>
      <c r="BE170" s="70">
        <v>0</v>
      </c>
      <c r="BF170" s="70">
        <f>170</f>
        <v>170</v>
      </c>
      <c r="BH170" s="70">
        <f>G170*AO170</f>
        <v>0</v>
      </c>
      <c r="BI170" s="70">
        <f>G170*AP170</f>
        <v>0</v>
      </c>
      <c r="BJ170" s="70">
        <f>G170*H170</f>
        <v>0</v>
      </c>
    </row>
    <row r="171" spans="1:12" ht="15">
      <c r="A171" s="48"/>
      <c r="B171" s="49"/>
      <c r="C171" s="727" t="s">
        <v>414</v>
      </c>
      <c r="D171" s="728"/>
      <c r="E171" s="728"/>
      <c r="F171" s="48" t="s">
        <v>70</v>
      </c>
      <c r="G171" s="48" t="s">
        <v>70</v>
      </c>
      <c r="H171" s="48" t="s">
        <v>70</v>
      </c>
      <c r="I171" s="50">
        <f>I172+I175+I182+I184</f>
        <v>0</v>
      </c>
      <c r="J171" s="50">
        <f>J172+J175+J182+J184</f>
        <v>0</v>
      </c>
      <c r="K171" s="50">
        <f>K172+K175+K182+K184</f>
        <v>0</v>
      </c>
      <c r="L171" s="51"/>
    </row>
    <row r="172" spans="1:47" ht="15">
      <c r="A172" s="88"/>
      <c r="B172" s="89" t="s">
        <v>169</v>
      </c>
      <c r="C172" s="710" t="s">
        <v>278</v>
      </c>
      <c r="D172" s="711"/>
      <c r="E172" s="711"/>
      <c r="F172" s="88" t="s">
        <v>70</v>
      </c>
      <c r="G172" s="88" t="s">
        <v>70</v>
      </c>
      <c r="H172" s="88" t="s">
        <v>70</v>
      </c>
      <c r="I172" s="90">
        <f>SUM(I173:I173)</f>
        <v>0</v>
      </c>
      <c r="J172" s="90">
        <f>SUM(J173:J173)</f>
        <v>0</v>
      </c>
      <c r="K172" s="90">
        <f>SUM(K173:K173)</f>
        <v>0</v>
      </c>
      <c r="L172" s="91"/>
      <c r="AI172" s="67" t="s">
        <v>172</v>
      </c>
      <c r="AS172" s="68">
        <f>SUM(AJ173:AJ173)</f>
        <v>0</v>
      </c>
      <c r="AT172" s="68">
        <f>SUM(AK173:AK173)</f>
        <v>0</v>
      </c>
      <c r="AU172" s="68">
        <f>SUM(AL173:AL173)</f>
        <v>0</v>
      </c>
    </row>
    <row r="173" spans="1:62" ht="15">
      <c r="A173" s="69" t="s">
        <v>415</v>
      </c>
      <c r="B173" s="69" t="s">
        <v>318</v>
      </c>
      <c r="C173" s="696" t="s">
        <v>319</v>
      </c>
      <c r="D173" s="693"/>
      <c r="E173" s="693"/>
      <c r="F173" s="69" t="s">
        <v>109</v>
      </c>
      <c r="G173" s="70">
        <v>154.2</v>
      </c>
      <c r="H173" s="580">
        <v>0</v>
      </c>
      <c r="I173" s="70">
        <f>G173*AO173</f>
        <v>0</v>
      </c>
      <c r="J173" s="70">
        <f>G173*AP173</f>
        <v>0</v>
      </c>
      <c r="K173" s="70">
        <f>G173*H173</f>
        <v>0</v>
      </c>
      <c r="L173" s="71" t="s">
        <v>282</v>
      </c>
      <c r="Z173" s="70">
        <f>IF(AQ173="5",BJ173,0)</f>
        <v>0</v>
      </c>
      <c r="AB173" s="70">
        <f>IF(AQ173="1",BH173,0)</f>
        <v>0</v>
      </c>
      <c r="AC173" s="70">
        <f>IF(AQ173="1",BI173,0)</f>
        <v>0</v>
      </c>
      <c r="AD173" s="70">
        <f>IF(AQ173="7",BH173,0)</f>
        <v>0</v>
      </c>
      <c r="AE173" s="70">
        <f>IF(AQ173="7",BI173,0)</f>
        <v>0</v>
      </c>
      <c r="AF173" s="70">
        <f>IF(AQ173="2",BH173,0)</f>
        <v>0</v>
      </c>
      <c r="AG173" s="70">
        <f>IF(AQ173="2",BI173,0)</f>
        <v>0</v>
      </c>
      <c r="AH173" s="70">
        <f>IF(AQ173="0",BJ173,0)</f>
        <v>0</v>
      </c>
      <c r="AI173" s="67" t="s">
        <v>172</v>
      </c>
      <c r="AJ173" s="70">
        <f>IF(AN173=0,K173,0)</f>
        <v>0</v>
      </c>
      <c r="AK173" s="70">
        <f>IF(AN173=15,K173,0)</f>
        <v>0</v>
      </c>
      <c r="AL173" s="70">
        <f>IF(AN173=21,K173,0)</f>
        <v>0</v>
      </c>
      <c r="AN173" s="70">
        <v>21</v>
      </c>
      <c r="AO173" s="70">
        <f>H173*0</f>
        <v>0</v>
      </c>
      <c r="AP173" s="70">
        <f>H173*(1-0)</f>
        <v>0</v>
      </c>
      <c r="AQ173" s="71" t="s">
        <v>106</v>
      </c>
      <c r="AV173" s="70">
        <f>AW173+AX173</f>
        <v>0</v>
      </c>
      <c r="AW173" s="70">
        <f>G173*AO173</f>
        <v>0</v>
      </c>
      <c r="AX173" s="70">
        <f>G173*AP173</f>
        <v>0</v>
      </c>
      <c r="AY173" s="71" t="s">
        <v>283</v>
      </c>
      <c r="AZ173" s="71" t="s">
        <v>416</v>
      </c>
      <c r="BA173" s="67" t="s">
        <v>417</v>
      </c>
      <c r="BC173" s="70">
        <f>AW173+AX173</f>
        <v>0</v>
      </c>
      <c r="BD173" s="70">
        <f>H173/(100-BE173)*100</f>
        <v>0</v>
      </c>
      <c r="BE173" s="70">
        <v>0</v>
      </c>
      <c r="BF173" s="70">
        <f>173</f>
        <v>173</v>
      </c>
      <c r="BH173" s="70">
        <f>G173*AO173</f>
        <v>0</v>
      </c>
      <c r="BI173" s="70">
        <f>G173*AP173</f>
        <v>0</v>
      </c>
      <c r="BJ173" s="70">
        <f>G173*H173</f>
        <v>0</v>
      </c>
    </row>
    <row r="174" spans="2:12" ht="12.75" customHeight="1">
      <c r="B174" s="75" t="s">
        <v>67</v>
      </c>
      <c r="C174" s="725" t="s">
        <v>418</v>
      </c>
      <c r="D174" s="726"/>
      <c r="E174" s="726"/>
      <c r="F174" s="726"/>
      <c r="G174" s="726"/>
      <c r="H174" s="726"/>
      <c r="I174" s="726"/>
      <c r="J174" s="726"/>
      <c r="K174" s="726"/>
      <c r="L174" s="726"/>
    </row>
    <row r="175" spans="1:47" ht="15">
      <c r="A175" s="88"/>
      <c r="B175" s="89" t="s">
        <v>314</v>
      </c>
      <c r="C175" s="710" t="s">
        <v>327</v>
      </c>
      <c r="D175" s="711"/>
      <c r="E175" s="711"/>
      <c r="F175" s="88" t="s">
        <v>70</v>
      </c>
      <c r="G175" s="88" t="s">
        <v>70</v>
      </c>
      <c r="H175" s="88" t="s">
        <v>70</v>
      </c>
      <c r="I175" s="90">
        <f>SUM(I176:I180)</f>
        <v>0</v>
      </c>
      <c r="J175" s="90">
        <f>SUM(J176:J180)</f>
        <v>0</v>
      </c>
      <c r="K175" s="90">
        <f>SUM(K176:K180)</f>
        <v>0</v>
      </c>
      <c r="L175" s="91"/>
      <c r="AI175" s="67" t="s">
        <v>172</v>
      </c>
      <c r="AS175" s="68">
        <f>SUM(AJ176:AJ180)</f>
        <v>0</v>
      </c>
      <c r="AT175" s="68">
        <f>SUM(AK176:AK180)</f>
        <v>0</v>
      </c>
      <c r="AU175" s="68">
        <f>SUM(AL176:AL180)</f>
        <v>0</v>
      </c>
    </row>
    <row r="176" spans="1:62" ht="15">
      <c r="A176" s="69" t="s">
        <v>419</v>
      </c>
      <c r="B176" s="69" t="s">
        <v>329</v>
      </c>
      <c r="C176" s="696" t="s">
        <v>330</v>
      </c>
      <c r="D176" s="693"/>
      <c r="E176" s="693"/>
      <c r="F176" s="69" t="s">
        <v>253</v>
      </c>
      <c r="G176" s="70">
        <v>42.1</v>
      </c>
      <c r="H176" s="580">
        <v>0</v>
      </c>
      <c r="I176" s="70">
        <f>G176*AO176</f>
        <v>0</v>
      </c>
      <c r="J176" s="70">
        <f>G176*AP176</f>
        <v>0</v>
      </c>
      <c r="K176" s="70">
        <f>G176*H176</f>
        <v>0</v>
      </c>
      <c r="L176" s="71" t="s">
        <v>282</v>
      </c>
      <c r="Z176" s="70">
        <f>IF(AQ176="5",BJ176,0)</f>
        <v>0</v>
      </c>
      <c r="AB176" s="70">
        <f>IF(AQ176="1",BH176,0)</f>
        <v>0</v>
      </c>
      <c r="AC176" s="70">
        <f>IF(AQ176="1",BI176,0)</f>
        <v>0</v>
      </c>
      <c r="AD176" s="70">
        <f>IF(AQ176="7",BH176,0)</f>
        <v>0</v>
      </c>
      <c r="AE176" s="70">
        <f>IF(AQ176="7",BI176,0)</f>
        <v>0</v>
      </c>
      <c r="AF176" s="70">
        <f>IF(AQ176="2",BH176,0)</f>
        <v>0</v>
      </c>
      <c r="AG176" s="70">
        <f>IF(AQ176="2",BI176,0)</f>
        <v>0</v>
      </c>
      <c r="AH176" s="70">
        <f>IF(AQ176="0",BJ176,0)</f>
        <v>0</v>
      </c>
      <c r="AI176" s="67" t="s">
        <v>172</v>
      </c>
      <c r="AJ176" s="70">
        <f>IF(AN176=0,K176,0)</f>
        <v>0</v>
      </c>
      <c r="AK176" s="70">
        <f>IF(AN176=15,K176,0)</f>
        <v>0</v>
      </c>
      <c r="AL176" s="70">
        <f>IF(AN176=21,K176,0)</f>
        <v>0</v>
      </c>
      <c r="AN176" s="70">
        <v>21</v>
      </c>
      <c r="AO176" s="70">
        <f>H176*0</f>
        <v>0</v>
      </c>
      <c r="AP176" s="70">
        <f>H176*(1-0)</f>
        <v>0</v>
      </c>
      <c r="AQ176" s="71" t="s">
        <v>106</v>
      </c>
      <c r="AV176" s="70">
        <f>AW176+AX176</f>
        <v>0</v>
      </c>
      <c r="AW176" s="70">
        <f>G176*AO176</f>
        <v>0</v>
      </c>
      <c r="AX176" s="70">
        <f>G176*AP176</f>
        <v>0</v>
      </c>
      <c r="AY176" s="71" t="s">
        <v>331</v>
      </c>
      <c r="AZ176" s="71" t="s">
        <v>420</v>
      </c>
      <c r="BA176" s="67" t="s">
        <v>417</v>
      </c>
      <c r="BC176" s="70">
        <f>AW176+AX176</f>
        <v>0</v>
      </c>
      <c r="BD176" s="70">
        <f>H176/(100-BE176)*100</f>
        <v>0</v>
      </c>
      <c r="BE176" s="70">
        <v>0</v>
      </c>
      <c r="BF176" s="70">
        <f>176</f>
        <v>176</v>
      </c>
      <c r="BH176" s="70">
        <f>G176*AO176</f>
        <v>0</v>
      </c>
      <c r="BI176" s="70">
        <f>G176*AP176</f>
        <v>0</v>
      </c>
      <c r="BJ176" s="70">
        <f>G176*H176</f>
        <v>0</v>
      </c>
    </row>
    <row r="177" spans="2:12" ht="25.35" customHeight="1">
      <c r="B177" s="75" t="s">
        <v>67</v>
      </c>
      <c r="C177" s="725" t="s">
        <v>421</v>
      </c>
      <c r="D177" s="726"/>
      <c r="E177" s="726"/>
      <c r="F177" s="726"/>
      <c r="G177" s="726"/>
      <c r="H177" s="726"/>
      <c r="I177" s="726"/>
      <c r="J177" s="726"/>
      <c r="K177" s="726"/>
      <c r="L177" s="726"/>
    </row>
    <row r="178" spans="1:62" ht="15">
      <c r="A178" s="69" t="s">
        <v>422</v>
      </c>
      <c r="B178" s="69" t="s">
        <v>335</v>
      </c>
      <c r="C178" s="696" t="s">
        <v>336</v>
      </c>
      <c r="D178" s="693"/>
      <c r="E178" s="693"/>
      <c r="F178" s="69" t="s">
        <v>337</v>
      </c>
      <c r="G178" s="70">
        <v>450</v>
      </c>
      <c r="H178" s="580">
        <v>0</v>
      </c>
      <c r="I178" s="70">
        <f>G178*AO178</f>
        <v>0</v>
      </c>
      <c r="J178" s="70">
        <f>G178*AP178</f>
        <v>0</v>
      </c>
      <c r="K178" s="70">
        <f>G178*H178</f>
        <v>0</v>
      </c>
      <c r="L178" s="71"/>
      <c r="Z178" s="70">
        <f>IF(AQ178="5",BJ178,0)</f>
        <v>0</v>
      </c>
      <c r="AB178" s="70">
        <f>IF(AQ178="1",BH178,0)</f>
        <v>0</v>
      </c>
      <c r="AC178" s="70">
        <f>IF(AQ178="1",BI178,0)</f>
        <v>0</v>
      </c>
      <c r="AD178" s="70">
        <f>IF(AQ178="7",BH178,0)</f>
        <v>0</v>
      </c>
      <c r="AE178" s="70">
        <f>IF(AQ178="7",BI178,0)</f>
        <v>0</v>
      </c>
      <c r="AF178" s="70">
        <f>IF(AQ178="2",BH178,0)</f>
        <v>0</v>
      </c>
      <c r="AG178" s="70">
        <f>IF(AQ178="2",BI178,0)</f>
        <v>0</v>
      </c>
      <c r="AH178" s="70">
        <f>IF(AQ178="0",BJ178,0)</f>
        <v>0</v>
      </c>
      <c r="AI178" s="67" t="s">
        <v>172</v>
      </c>
      <c r="AJ178" s="70">
        <f>IF(AN178=0,K178,0)</f>
        <v>0</v>
      </c>
      <c r="AK178" s="70">
        <f>IF(AN178=15,K178,0)</f>
        <v>0</v>
      </c>
      <c r="AL178" s="70">
        <f>IF(AN178=21,K178,0)</f>
        <v>0</v>
      </c>
      <c r="AN178" s="70">
        <v>21</v>
      </c>
      <c r="AO178" s="70">
        <f>H178*0</f>
        <v>0</v>
      </c>
      <c r="AP178" s="70">
        <f>H178*(1-0)</f>
        <v>0</v>
      </c>
      <c r="AQ178" s="71" t="s">
        <v>124</v>
      </c>
      <c r="AV178" s="70">
        <f>AW178+AX178</f>
        <v>0</v>
      </c>
      <c r="AW178" s="70">
        <f>G178*AO178</f>
        <v>0</v>
      </c>
      <c r="AX178" s="70">
        <f>G178*AP178</f>
        <v>0</v>
      </c>
      <c r="AY178" s="71" t="s">
        <v>331</v>
      </c>
      <c r="AZ178" s="71" t="s">
        <v>420</v>
      </c>
      <c r="BA178" s="67" t="s">
        <v>417</v>
      </c>
      <c r="BC178" s="70">
        <f>AW178+AX178</f>
        <v>0</v>
      </c>
      <c r="BD178" s="70">
        <f>H178/(100-BE178)*100</f>
        <v>0</v>
      </c>
      <c r="BE178" s="70">
        <v>0</v>
      </c>
      <c r="BF178" s="70">
        <f>178</f>
        <v>178</v>
      </c>
      <c r="BH178" s="70">
        <f>G178*AO178</f>
        <v>0</v>
      </c>
      <c r="BI178" s="70">
        <f>G178*AP178</f>
        <v>0</v>
      </c>
      <c r="BJ178" s="70">
        <f>G178*H178</f>
        <v>0</v>
      </c>
    </row>
    <row r="179" spans="2:12" ht="38.7" customHeight="1">
      <c r="B179" s="75" t="s">
        <v>67</v>
      </c>
      <c r="C179" s="725" t="s">
        <v>423</v>
      </c>
      <c r="D179" s="726"/>
      <c r="E179" s="726"/>
      <c r="F179" s="726"/>
      <c r="G179" s="726"/>
      <c r="H179" s="726"/>
      <c r="I179" s="726"/>
      <c r="J179" s="726"/>
      <c r="K179" s="726"/>
      <c r="L179" s="726"/>
    </row>
    <row r="180" spans="1:62" ht="15">
      <c r="A180" s="69" t="s">
        <v>424</v>
      </c>
      <c r="B180" s="69" t="s">
        <v>425</v>
      </c>
      <c r="C180" s="696" t="s">
        <v>426</v>
      </c>
      <c r="D180" s="693"/>
      <c r="E180" s="693"/>
      <c r="F180" s="69" t="s">
        <v>109</v>
      </c>
      <c r="G180" s="70">
        <v>154.2</v>
      </c>
      <c r="H180" s="580">
        <v>0</v>
      </c>
      <c r="I180" s="70">
        <f>G180*AO180</f>
        <v>0</v>
      </c>
      <c r="J180" s="70">
        <f>G180*AP180</f>
        <v>0</v>
      </c>
      <c r="K180" s="70">
        <f>G180*H180</f>
        <v>0</v>
      </c>
      <c r="L180" s="71" t="s">
        <v>120</v>
      </c>
      <c r="Z180" s="70">
        <f>IF(AQ180="5",BJ180,0)</f>
        <v>0</v>
      </c>
      <c r="AB180" s="70">
        <f>IF(AQ180="1",BH180,0)</f>
        <v>0</v>
      </c>
      <c r="AC180" s="70">
        <f>IF(AQ180="1",BI180,0)</f>
        <v>0</v>
      </c>
      <c r="AD180" s="70">
        <f>IF(AQ180="7",BH180,0)</f>
        <v>0</v>
      </c>
      <c r="AE180" s="70">
        <f>IF(AQ180="7",BI180,0)</f>
        <v>0</v>
      </c>
      <c r="AF180" s="70">
        <f>IF(AQ180="2",BH180,0)</f>
        <v>0</v>
      </c>
      <c r="AG180" s="70">
        <f>IF(AQ180="2",BI180,0)</f>
        <v>0</v>
      </c>
      <c r="AH180" s="70">
        <f>IF(AQ180="0",BJ180,0)</f>
        <v>0</v>
      </c>
      <c r="AI180" s="67" t="s">
        <v>172</v>
      </c>
      <c r="AJ180" s="70">
        <f>IF(AN180=0,K180,0)</f>
        <v>0</v>
      </c>
      <c r="AK180" s="70">
        <f>IF(AN180=15,K180,0)</f>
        <v>0</v>
      </c>
      <c r="AL180" s="70">
        <f>IF(AN180=21,K180,0)</f>
        <v>0</v>
      </c>
      <c r="AN180" s="70">
        <v>21</v>
      </c>
      <c r="AO180" s="70">
        <f>H180*0.408292964244521</f>
        <v>0</v>
      </c>
      <c r="AP180" s="70">
        <f>H180*(1-0.408292964244521)</f>
        <v>0</v>
      </c>
      <c r="AQ180" s="71" t="s">
        <v>106</v>
      </c>
      <c r="AV180" s="70">
        <f>AW180+AX180</f>
        <v>0</v>
      </c>
      <c r="AW180" s="70">
        <f>G180*AO180</f>
        <v>0</v>
      </c>
      <c r="AX180" s="70">
        <f>G180*AP180</f>
        <v>0</v>
      </c>
      <c r="AY180" s="71" t="s">
        <v>331</v>
      </c>
      <c r="AZ180" s="71" t="s">
        <v>420</v>
      </c>
      <c r="BA180" s="67" t="s">
        <v>417</v>
      </c>
      <c r="BC180" s="70">
        <f>AW180+AX180</f>
        <v>0</v>
      </c>
      <c r="BD180" s="70">
        <f>H180/(100-BE180)*100</f>
        <v>0</v>
      </c>
      <c r="BE180" s="70">
        <v>0</v>
      </c>
      <c r="BF180" s="70">
        <f>180</f>
        <v>180</v>
      </c>
      <c r="BH180" s="70">
        <f>G180*AO180</f>
        <v>0</v>
      </c>
      <c r="BI180" s="70">
        <f>G180*AP180</f>
        <v>0</v>
      </c>
      <c r="BJ180" s="70">
        <f>G180*H180</f>
        <v>0</v>
      </c>
    </row>
    <row r="181" spans="2:12" ht="12.75" customHeight="1">
      <c r="B181" s="75" t="s">
        <v>67</v>
      </c>
      <c r="C181" s="725" t="s">
        <v>427</v>
      </c>
      <c r="D181" s="726"/>
      <c r="E181" s="726"/>
      <c r="F181" s="726"/>
      <c r="G181" s="726"/>
      <c r="H181" s="726"/>
      <c r="I181" s="726"/>
      <c r="J181" s="726"/>
      <c r="K181" s="726"/>
      <c r="L181" s="726"/>
    </row>
    <row r="182" spans="1:47" ht="15">
      <c r="A182" s="88"/>
      <c r="B182" s="89" t="s">
        <v>345</v>
      </c>
      <c r="C182" s="710" t="s">
        <v>346</v>
      </c>
      <c r="D182" s="711"/>
      <c r="E182" s="711"/>
      <c r="F182" s="88" t="s">
        <v>70</v>
      </c>
      <c r="G182" s="88" t="s">
        <v>70</v>
      </c>
      <c r="H182" s="88" t="s">
        <v>70</v>
      </c>
      <c r="I182" s="90">
        <f>SUM(I183:I183)</f>
        <v>0</v>
      </c>
      <c r="J182" s="90">
        <f>SUM(J183:J183)</f>
        <v>0</v>
      </c>
      <c r="K182" s="90">
        <f>SUM(K183:K183)</f>
        <v>0</v>
      </c>
      <c r="L182" s="91"/>
      <c r="AI182" s="67" t="s">
        <v>172</v>
      </c>
      <c r="AS182" s="68">
        <f>SUM(AJ183:AJ183)</f>
        <v>0</v>
      </c>
      <c r="AT182" s="68">
        <f>SUM(AK183:AK183)</f>
        <v>0</v>
      </c>
      <c r="AU182" s="68">
        <f>SUM(AL183:AL183)</f>
        <v>0</v>
      </c>
    </row>
    <row r="183" spans="1:62" ht="15">
      <c r="A183" s="69" t="s">
        <v>428</v>
      </c>
      <c r="B183" s="69" t="s">
        <v>348</v>
      </c>
      <c r="C183" s="696" t="s">
        <v>349</v>
      </c>
      <c r="D183" s="693"/>
      <c r="E183" s="693"/>
      <c r="F183" s="69" t="s">
        <v>132</v>
      </c>
      <c r="G183" s="70">
        <v>81.9</v>
      </c>
      <c r="H183" s="580">
        <v>0</v>
      </c>
      <c r="I183" s="70">
        <f>G183*AO183</f>
        <v>0</v>
      </c>
      <c r="J183" s="70">
        <f>G183*AP183</f>
        <v>0</v>
      </c>
      <c r="K183" s="70">
        <f>G183*H183</f>
        <v>0</v>
      </c>
      <c r="L183" s="71" t="s">
        <v>282</v>
      </c>
      <c r="Z183" s="70">
        <f>IF(AQ183="5",BJ183,0)</f>
        <v>0</v>
      </c>
      <c r="AB183" s="70">
        <f>IF(AQ183="1",BH183,0)</f>
        <v>0</v>
      </c>
      <c r="AC183" s="70">
        <f>IF(AQ183="1",BI183,0)</f>
        <v>0</v>
      </c>
      <c r="AD183" s="70">
        <f>IF(AQ183="7",BH183,0)</f>
        <v>0</v>
      </c>
      <c r="AE183" s="70">
        <f>IF(AQ183="7",BI183,0)</f>
        <v>0</v>
      </c>
      <c r="AF183" s="70">
        <f>IF(AQ183="2",BH183,0)</f>
        <v>0</v>
      </c>
      <c r="AG183" s="70">
        <f>IF(AQ183="2",BI183,0)</f>
        <v>0</v>
      </c>
      <c r="AH183" s="70">
        <f>IF(AQ183="0",BJ183,0)</f>
        <v>0</v>
      </c>
      <c r="AI183" s="67" t="s">
        <v>172</v>
      </c>
      <c r="AJ183" s="70">
        <f>IF(AN183=0,K183,0)</f>
        <v>0</v>
      </c>
      <c r="AK183" s="70">
        <f>IF(AN183=15,K183,0)</f>
        <v>0</v>
      </c>
      <c r="AL183" s="70">
        <f>IF(AN183=21,K183,0)</f>
        <v>0</v>
      </c>
      <c r="AN183" s="70">
        <v>21</v>
      </c>
      <c r="AO183" s="70">
        <f>H183*0</f>
        <v>0</v>
      </c>
      <c r="AP183" s="70">
        <f>H183*(1-0)</f>
        <v>0</v>
      </c>
      <c r="AQ183" s="71" t="s">
        <v>124</v>
      </c>
      <c r="AV183" s="70">
        <f>AW183+AX183</f>
        <v>0</v>
      </c>
      <c r="AW183" s="70">
        <f>G183*AO183</f>
        <v>0</v>
      </c>
      <c r="AX183" s="70">
        <f>G183*AP183</f>
        <v>0</v>
      </c>
      <c r="AY183" s="71" t="s">
        <v>350</v>
      </c>
      <c r="AZ183" s="71" t="s">
        <v>429</v>
      </c>
      <c r="BA183" s="67" t="s">
        <v>417</v>
      </c>
      <c r="BC183" s="70">
        <f>AW183+AX183</f>
        <v>0</v>
      </c>
      <c r="BD183" s="70">
        <f>H183/(100-BE183)*100</f>
        <v>0</v>
      </c>
      <c r="BE183" s="70">
        <v>0</v>
      </c>
      <c r="BF183" s="70">
        <f>183</f>
        <v>183</v>
      </c>
      <c r="BH183" s="70">
        <f>G183*AO183</f>
        <v>0</v>
      </c>
      <c r="BI183" s="70">
        <f>G183*AP183</f>
        <v>0</v>
      </c>
      <c r="BJ183" s="70">
        <f>G183*H183</f>
        <v>0</v>
      </c>
    </row>
    <row r="184" spans="1:47" ht="15">
      <c r="A184" s="88"/>
      <c r="B184" s="89"/>
      <c r="C184" s="710" t="s">
        <v>52</v>
      </c>
      <c r="D184" s="711"/>
      <c r="E184" s="711"/>
      <c r="F184" s="88" t="s">
        <v>70</v>
      </c>
      <c r="G184" s="88" t="s">
        <v>70</v>
      </c>
      <c r="H184" s="88" t="s">
        <v>70</v>
      </c>
      <c r="I184" s="90">
        <f>SUM(I185:I187)</f>
        <v>0</v>
      </c>
      <c r="J184" s="90">
        <f>SUM(J185:J187)</f>
        <v>0</v>
      </c>
      <c r="K184" s="90">
        <f>SUM(K185:K187)</f>
        <v>0</v>
      </c>
      <c r="L184" s="91"/>
      <c r="AI184" s="67" t="s">
        <v>172</v>
      </c>
      <c r="AS184" s="68">
        <f>SUM(AJ185:AJ187)</f>
        <v>0</v>
      </c>
      <c r="AT184" s="68">
        <f>SUM(AK185:AK187)</f>
        <v>0</v>
      </c>
      <c r="AU184" s="68">
        <f>SUM(AL185:AL187)</f>
        <v>0</v>
      </c>
    </row>
    <row r="185" spans="1:62" ht="15">
      <c r="A185" s="69" t="s">
        <v>430</v>
      </c>
      <c r="B185" s="69" t="s">
        <v>353</v>
      </c>
      <c r="C185" s="696" t="s">
        <v>431</v>
      </c>
      <c r="D185" s="693"/>
      <c r="E185" s="693"/>
      <c r="F185" s="69" t="s">
        <v>132</v>
      </c>
      <c r="G185" s="70">
        <v>16</v>
      </c>
      <c r="H185" s="580">
        <v>0</v>
      </c>
      <c r="I185" s="70">
        <f>G185*AO185</f>
        <v>0</v>
      </c>
      <c r="J185" s="70">
        <f>G185*AP185</f>
        <v>0</v>
      </c>
      <c r="K185" s="70">
        <f>G185*H185</f>
        <v>0</v>
      </c>
      <c r="L185" s="71" t="s">
        <v>282</v>
      </c>
      <c r="Z185" s="70">
        <f>IF(AQ185="5",BJ185,0)</f>
        <v>0</v>
      </c>
      <c r="AB185" s="70">
        <f>IF(AQ185="1",BH185,0)</f>
        <v>0</v>
      </c>
      <c r="AC185" s="70">
        <f>IF(AQ185="1",BI185,0)</f>
        <v>0</v>
      </c>
      <c r="AD185" s="70">
        <f>IF(AQ185="7",BH185,0)</f>
        <v>0</v>
      </c>
      <c r="AE185" s="70">
        <f>IF(AQ185="7",BI185,0)</f>
        <v>0</v>
      </c>
      <c r="AF185" s="70">
        <f>IF(AQ185="2",BH185,0)</f>
        <v>0</v>
      </c>
      <c r="AG185" s="70">
        <f>IF(AQ185="2",BI185,0)</f>
        <v>0</v>
      </c>
      <c r="AH185" s="70">
        <f>IF(AQ185="0",BJ185,0)</f>
        <v>0</v>
      </c>
      <c r="AI185" s="67" t="s">
        <v>172</v>
      </c>
      <c r="AJ185" s="70">
        <f>IF(AN185=0,K185,0)</f>
        <v>0</v>
      </c>
      <c r="AK185" s="70">
        <f>IF(AN185=15,K185,0)</f>
        <v>0</v>
      </c>
      <c r="AL185" s="70">
        <f>IF(AN185=21,K185,0)</f>
        <v>0</v>
      </c>
      <c r="AN185" s="70">
        <v>21</v>
      </c>
      <c r="AO185" s="70">
        <f>H185*1</f>
        <v>0</v>
      </c>
      <c r="AP185" s="70">
        <f>H185*(1-1)</f>
        <v>0</v>
      </c>
      <c r="AQ185" s="71" t="s">
        <v>355</v>
      </c>
      <c r="AV185" s="70">
        <f>AW185+AX185</f>
        <v>0</v>
      </c>
      <c r="AW185" s="70">
        <f>G185*AO185</f>
        <v>0</v>
      </c>
      <c r="AX185" s="70">
        <f>G185*AP185</f>
        <v>0</v>
      </c>
      <c r="AY185" s="71" t="s">
        <v>356</v>
      </c>
      <c r="AZ185" s="71" t="s">
        <v>432</v>
      </c>
      <c r="BA185" s="67" t="s">
        <v>417</v>
      </c>
      <c r="BC185" s="70">
        <f>AW185+AX185</f>
        <v>0</v>
      </c>
      <c r="BD185" s="70">
        <f>H185/(100-BE185)*100</f>
        <v>0</v>
      </c>
      <c r="BE185" s="70">
        <v>0</v>
      </c>
      <c r="BF185" s="70">
        <f>185</f>
        <v>185</v>
      </c>
      <c r="BH185" s="70">
        <f>G185*AO185</f>
        <v>0</v>
      </c>
      <c r="BI185" s="70">
        <f>G185*AP185</f>
        <v>0</v>
      </c>
      <c r="BJ185" s="70">
        <f>G185*H185</f>
        <v>0</v>
      </c>
    </row>
    <row r="186" spans="2:12" ht="12.75" customHeight="1">
      <c r="B186" s="75" t="s">
        <v>67</v>
      </c>
      <c r="C186" s="725" t="s">
        <v>358</v>
      </c>
      <c r="D186" s="726"/>
      <c r="E186" s="726"/>
      <c r="F186" s="726"/>
      <c r="G186" s="726"/>
      <c r="H186" s="726"/>
      <c r="I186" s="726"/>
      <c r="J186" s="726"/>
      <c r="K186" s="726"/>
      <c r="L186" s="726"/>
    </row>
    <row r="187" spans="1:62" ht="15">
      <c r="A187" s="69" t="s">
        <v>433</v>
      </c>
      <c r="B187" s="69" t="s">
        <v>363</v>
      </c>
      <c r="C187" s="696" t="s">
        <v>434</v>
      </c>
      <c r="D187" s="693"/>
      <c r="E187" s="693"/>
      <c r="F187" s="69" t="s">
        <v>132</v>
      </c>
      <c r="G187" s="70">
        <v>17.5</v>
      </c>
      <c r="H187" s="580">
        <v>0</v>
      </c>
      <c r="I187" s="70">
        <f>G187*AO187</f>
        <v>0</v>
      </c>
      <c r="J187" s="70">
        <f>G187*AP187</f>
        <v>0</v>
      </c>
      <c r="K187" s="70">
        <f>G187*H187</f>
        <v>0</v>
      </c>
      <c r="L187" s="71" t="s">
        <v>120</v>
      </c>
      <c r="Z187" s="70">
        <f>IF(AQ187="5",BJ187,0)</f>
        <v>0</v>
      </c>
      <c r="AB187" s="70">
        <f>IF(AQ187="1",BH187,0)</f>
        <v>0</v>
      </c>
      <c r="AC187" s="70">
        <f>IF(AQ187="1",BI187,0)</f>
        <v>0</v>
      </c>
      <c r="AD187" s="70">
        <f>IF(AQ187="7",BH187,0)</f>
        <v>0</v>
      </c>
      <c r="AE187" s="70">
        <f>IF(AQ187="7",BI187,0)</f>
        <v>0</v>
      </c>
      <c r="AF187" s="70">
        <f>IF(AQ187="2",BH187,0)</f>
        <v>0</v>
      </c>
      <c r="AG187" s="70">
        <f>IF(AQ187="2",BI187,0)</f>
        <v>0</v>
      </c>
      <c r="AH187" s="70">
        <f>IF(AQ187="0",BJ187,0)</f>
        <v>0</v>
      </c>
      <c r="AI187" s="67" t="s">
        <v>172</v>
      </c>
      <c r="AJ187" s="70">
        <f>IF(AN187=0,K187,0)</f>
        <v>0</v>
      </c>
      <c r="AK187" s="70">
        <f>IF(AN187=15,K187,0)</f>
        <v>0</v>
      </c>
      <c r="AL187" s="70">
        <f>IF(AN187=21,K187,0)</f>
        <v>0</v>
      </c>
      <c r="AN187" s="70">
        <v>21</v>
      </c>
      <c r="AO187" s="70">
        <f>H187*1</f>
        <v>0</v>
      </c>
      <c r="AP187" s="70">
        <f>H187*(1-1)</f>
        <v>0</v>
      </c>
      <c r="AQ187" s="71" t="s">
        <v>355</v>
      </c>
      <c r="AV187" s="70">
        <f>AW187+AX187</f>
        <v>0</v>
      </c>
      <c r="AW187" s="70">
        <f>G187*AO187</f>
        <v>0</v>
      </c>
      <c r="AX187" s="70">
        <f>G187*AP187</f>
        <v>0</v>
      </c>
      <c r="AY187" s="71" t="s">
        <v>356</v>
      </c>
      <c r="AZ187" s="71" t="s">
        <v>432</v>
      </c>
      <c r="BA187" s="67" t="s">
        <v>417</v>
      </c>
      <c r="BC187" s="70">
        <f>AW187+AX187</f>
        <v>0</v>
      </c>
      <c r="BD187" s="70">
        <f>H187/(100-BE187)*100</f>
        <v>0</v>
      </c>
      <c r="BE187" s="70">
        <v>0</v>
      </c>
      <c r="BF187" s="70">
        <f>187</f>
        <v>187</v>
      </c>
      <c r="BH187" s="70">
        <f>G187*AO187</f>
        <v>0</v>
      </c>
      <c r="BI187" s="70">
        <f>G187*AP187</f>
        <v>0</v>
      </c>
      <c r="BJ187" s="70">
        <f>G187*H187</f>
        <v>0</v>
      </c>
    </row>
    <row r="188" spans="2:12" ht="12.75" customHeight="1">
      <c r="B188" s="75" t="s">
        <v>67</v>
      </c>
      <c r="C188" s="725" t="s">
        <v>358</v>
      </c>
      <c r="D188" s="726"/>
      <c r="E188" s="726"/>
      <c r="F188" s="726"/>
      <c r="G188" s="726"/>
      <c r="H188" s="726"/>
      <c r="I188" s="726"/>
      <c r="J188" s="726"/>
      <c r="K188" s="726"/>
      <c r="L188" s="726"/>
    </row>
    <row r="189" spans="1:12" ht="15">
      <c r="A189" s="48"/>
      <c r="B189" s="49"/>
      <c r="C189" s="727" t="s">
        <v>435</v>
      </c>
      <c r="D189" s="728"/>
      <c r="E189" s="728"/>
      <c r="F189" s="48" t="s">
        <v>70</v>
      </c>
      <c r="G189" s="48" t="s">
        <v>70</v>
      </c>
      <c r="H189" s="48" t="s">
        <v>70</v>
      </c>
      <c r="I189" s="50">
        <f>I190+I193+I200+I207+I210+I212</f>
        <v>0</v>
      </c>
      <c r="J189" s="50">
        <f>J190+J193+J200+J207+J210+J212</f>
        <v>0</v>
      </c>
      <c r="K189" s="50">
        <f>K190+K193+K200+K207+K210+K212</f>
        <v>0</v>
      </c>
      <c r="L189" s="51"/>
    </row>
    <row r="190" spans="1:47" ht="15">
      <c r="A190" s="88"/>
      <c r="B190" s="89" t="s">
        <v>103</v>
      </c>
      <c r="C190" s="710" t="s">
        <v>104</v>
      </c>
      <c r="D190" s="711"/>
      <c r="E190" s="711"/>
      <c r="F190" s="88" t="s">
        <v>70</v>
      </c>
      <c r="G190" s="88" t="s">
        <v>70</v>
      </c>
      <c r="H190" s="88" t="s">
        <v>70</v>
      </c>
      <c r="I190" s="90">
        <f>SUM(I191:I191)</f>
        <v>0</v>
      </c>
      <c r="J190" s="90">
        <f>SUM(J191:J191)</f>
        <v>0</v>
      </c>
      <c r="K190" s="90">
        <f>SUM(K191:K191)</f>
        <v>0</v>
      </c>
      <c r="L190" s="91"/>
      <c r="AI190" s="67" t="s">
        <v>177</v>
      </c>
      <c r="AS190" s="68">
        <f>SUM(AJ191:AJ191)</f>
        <v>0</v>
      </c>
      <c r="AT190" s="68">
        <f>SUM(AK191:AK191)</f>
        <v>0</v>
      </c>
      <c r="AU190" s="68">
        <f>SUM(AL191:AL191)</f>
        <v>0</v>
      </c>
    </row>
    <row r="191" spans="1:62" ht="15">
      <c r="A191" s="69" t="s">
        <v>436</v>
      </c>
      <c r="B191" s="69" t="s">
        <v>310</v>
      </c>
      <c r="C191" s="696" t="s">
        <v>437</v>
      </c>
      <c r="D191" s="693"/>
      <c r="E191" s="693"/>
      <c r="F191" s="69" t="s">
        <v>312</v>
      </c>
      <c r="G191" s="70">
        <v>1</v>
      </c>
      <c r="H191" s="580">
        <v>0</v>
      </c>
      <c r="I191" s="70">
        <f>G191*AO191</f>
        <v>0</v>
      </c>
      <c r="J191" s="70">
        <f>G191*AP191</f>
        <v>0</v>
      </c>
      <c r="K191" s="70">
        <f>G191*H191</f>
        <v>0</v>
      </c>
      <c r="L191" s="71"/>
      <c r="Z191" s="70">
        <f>IF(AQ191="5",BJ191,0)</f>
        <v>0</v>
      </c>
      <c r="AB191" s="70">
        <f>IF(AQ191="1",BH191,0)</f>
        <v>0</v>
      </c>
      <c r="AC191" s="70">
        <f>IF(AQ191="1",BI191,0)</f>
        <v>0</v>
      </c>
      <c r="AD191" s="70">
        <f>IF(AQ191="7",BH191,0)</f>
        <v>0</v>
      </c>
      <c r="AE191" s="70">
        <f>IF(AQ191="7",BI191,0)</f>
        <v>0</v>
      </c>
      <c r="AF191" s="70">
        <f>IF(AQ191="2",BH191,0)</f>
        <v>0</v>
      </c>
      <c r="AG191" s="70">
        <f>IF(AQ191="2",BI191,0)</f>
        <v>0</v>
      </c>
      <c r="AH191" s="70">
        <f>IF(AQ191="0",BJ191,0)</f>
        <v>0</v>
      </c>
      <c r="AI191" s="67" t="s">
        <v>177</v>
      </c>
      <c r="AJ191" s="70">
        <f>IF(AN191=0,K191,0)</f>
        <v>0</v>
      </c>
      <c r="AK191" s="70">
        <f>IF(AN191=15,K191,0)</f>
        <v>0</v>
      </c>
      <c r="AL191" s="70">
        <f>IF(AN191=21,K191,0)</f>
        <v>0</v>
      </c>
      <c r="AN191" s="70">
        <v>21</v>
      </c>
      <c r="AO191" s="70">
        <f>H191*0</f>
        <v>0</v>
      </c>
      <c r="AP191" s="70">
        <f>H191*(1-0)</f>
        <v>0</v>
      </c>
      <c r="AQ191" s="71" t="s">
        <v>106</v>
      </c>
      <c r="AV191" s="70">
        <f>AW191+AX191</f>
        <v>0</v>
      </c>
      <c r="AW191" s="70">
        <f>G191*AO191</f>
        <v>0</v>
      </c>
      <c r="AX191" s="70">
        <f>G191*AP191</f>
        <v>0</v>
      </c>
      <c r="AY191" s="71" t="s">
        <v>111</v>
      </c>
      <c r="AZ191" s="71" t="s">
        <v>438</v>
      </c>
      <c r="BA191" s="67" t="s">
        <v>439</v>
      </c>
      <c r="BC191" s="70">
        <f>AW191+AX191</f>
        <v>0</v>
      </c>
      <c r="BD191" s="70">
        <f>H191/(100-BE191)*100</f>
        <v>0</v>
      </c>
      <c r="BE191" s="70">
        <v>0</v>
      </c>
      <c r="BF191" s="70">
        <f>191</f>
        <v>191</v>
      </c>
      <c r="BH191" s="70">
        <f>G191*AO191</f>
        <v>0</v>
      </c>
      <c r="BI191" s="70">
        <f>G191*AP191</f>
        <v>0</v>
      </c>
      <c r="BJ191" s="70">
        <f>G191*H191</f>
        <v>0</v>
      </c>
    </row>
    <row r="192" spans="2:16" ht="12.75" customHeight="1">
      <c r="B192" s="75" t="s">
        <v>67</v>
      </c>
      <c r="C192" s="725" t="s">
        <v>440</v>
      </c>
      <c r="D192" s="726"/>
      <c r="E192" s="726"/>
      <c r="F192" s="726"/>
      <c r="G192" s="726"/>
      <c r="H192" s="726"/>
      <c r="I192" s="726"/>
      <c r="J192" s="726"/>
      <c r="K192" s="726"/>
      <c r="L192" s="726"/>
      <c r="P192" s="579"/>
    </row>
    <row r="193" spans="1:47" ht="15">
      <c r="A193" s="88"/>
      <c r="B193" s="89" t="s">
        <v>169</v>
      </c>
      <c r="C193" s="710" t="s">
        <v>278</v>
      </c>
      <c r="D193" s="711"/>
      <c r="E193" s="711"/>
      <c r="F193" s="88" t="s">
        <v>70</v>
      </c>
      <c r="G193" s="88" t="s">
        <v>70</v>
      </c>
      <c r="H193" s="88" t="s">
        <v>70</v>
      </c>
      <c r="I193" s="90">
        <f>SUM(I194:I199)</f>
        <v>0</v>
      </c>
      <c r="J193" s="90">
        <f>SUM(J194:J199)</f>
        <v>0</v>
      </c>
      <c r="K193" s="90">
        <f>SUM(K194:K199)</f>
        <v>0</v>
      </c>
      <c r="L193" s="91"/>
      <c r="AI193" s="67" t="s">
        <v>177</v>
      </c>
      <c r="AS193" s="68">
        <f>SUM(AJ194:AJ199)</f>
        <v>0</v>
      </c>
      <c r="AT193" s="68">
        <f>SUM(AK194:AK199)</f>
        <v>0</v>
      </c>
      <c r="AU193" s="68">
        <f>SUM(AL194:AL199)</f>
        <v>0</v>
      </c>
    </row>
    <row r="194" spans="1:62" ht="15">
      <c r="A194" s="69" t="s">
        <v>441</v>
      </c>
      <c r="B194" s="69" t="s">
        <v>280</v>
      </c>
      <c r="C194" s="696" t="s">
        <v>442</v>
      </c>
      <c r="D194" s="693"/>
      <c r="E194" s="693"/>
      <c r="F194" s="69" t="s">
        <v>253</v>
      </c>
      <c r="G194" s="70">
        <v>4.5</v>
      </c>
      <c r="H194" s="580">
        <v>0</v>
      </c>
      <c r="I194" s="70">
        <f>G194*AO194</f>
        <v>0</v>
      </c>
      <c r="J194" s="70">
        <f>G194*AP194</f>
        <v>0</v>
      </c>
      <c r="K194" s="70">
        <f>G194*H194</f>
        <v>0</v>
      </c>
      <c r="L194" s="71" t="s">
        <v>282</v>
      </c>
      <c r="Z194" s="70">
        <f>IF(AQ194="5",BJ194,0)</f>
        <v>0</v>
      </c>
      <c r="AB194" s="70">
        <f>IF(AQ194="1",BH194,0)</f>
        <v>0</v>
      </c>
      <c r="AC194" s="70">
        <f>IF(AQ194="1",BI194,0)</f>
        <v>0</v>
      </c>
      <c r="AD194" s="70">
        <f>IF(AQ194="7",BH194,0)</f>
        <v>0</v>
      </c>
      <c r="AE194" s="70">
        <f>IF(AQ194="7",BI194,0)</f>
        <v>0</v>
      </c>
      <c r="AF194" s="70">
        <f>IF(AQ194="2",BH194,0)</f>
        <v>0</v>
      </c>
      <c r="AG194" s="70">
        <f>IF(AQ194="2",BI194,0)</f>
        <v>0</v>
      </c>
      <c r="AH194" s="70">
        <f>IF(AQ194="0",BJ194,0)</f>
        <v>0</v>
      </c>
      <c r="AI194" s="67" t="s">
        <v>177</v>
      </c>
      <c r="AJ194" s="70">
        <f>IF(AN194=0,K194,0)</f>
        <v>0</v>
      </c>
      <c r="AK194" s="70">
        <f>IF(AN194=15,K194,0)</f>
        <v>0</v>
      </c>
      <c r="AL194" s="70">
        <f>IF(AN194=21,K194,0)</f>
        <v>0</v>
      </c>
      <c r="AN194" s="70">
        <v>21</v>
      </c>
      <c r="AO194" s="70">
        <f>H194*0</f>
        <v>0</v>
      </c>
      <c r="AP194" s="70">
        <f>H194*(1-0)</f>
        <v>0</v>
      </c>
      <c r="AQ194" s="71" t="s">
        <v>106</v>
      </c>
      <c r="AV194" s="70">
        <f>AW194+AX194</f>
        <v>0</v>
      </c>
      <c r="AW194" s="70">
        <f>G194*AO194</f>
        <v>0</v>
      </c>
      <c r="AX194" s="70">
        <f>G194*AP194</f>
        <v>0</v>
      </c>
      <c r="AY194" s="71" t="s">
        <v>283</v>
      </c>
      <c r="AZ194" s="71" t="s">
        <v>438</v>
      </c>
      <c r="BA194" s="67" t="s">
        <v>439</v>
      </c>
      <c r="BC194" s="70">
        <f>AW194+AX194</f>
        <v>0</v>
      </c>
      <c r="BD194" s="70">
        <f>H194/(100-BE194)*100</f>
        <v>0</v>
      </c>
      <c r="BE194" s="70">
        <v>0</v>
      </c>
      <c r="BF194" s="70">
        <f>194</f>
        <v>194</v>
      </c>
      <c r="BH194" s="70">
        <f>G194*AO194</f>
        <v>0</v>
      </c>
      <c r="BI194" s="70">
        <f>G194*AP194</f>
        <v>0</v>
      </c>
      <c r="BJ194" s="70">
        <f>G194*H194</f>
        <v>0</v>
      </c>
    </row>
    <row r="195" spans="2:12" ht="12.75" customHeight="1">
      <c r="B195" s="75" t="s">
        <v>67</v>
      </c>
      <c r="C195" s="725" t="s">
        <v>443</v>
      </c>
      <c r="D195" s="726"/>
      <c r="E195" s="726"/>
      <c r="F195" s="726"/>
      <c r="G195" s="726"/>
      <c r="H195" s="726"/>
      <c r="I195" s="726"/>
      <c r="J195" s="726"/>
      <c r="K195" s="726"/>
      <c r="L195" s="726"/>
    </row>
    <row r="196" spans="1:62" ht="15">
      <c r="A196" s="69" t="s">
        <v>444</v>
      </c>
      <c r="B196" s="69" t="s">
        <v>318</v>
      </c>
      <c r="C196" s="696" t="s">
        <v>319</v>
      </c>
      <c r="D196" s="693"/>
      <c r="E196" s="693"/>
      <c r="F196" s="69" t="s">
        <v>109</v>
      </c>
      <c r="G196" s="70">
        <v>44.7</v>
      </c>
      <c r="H196" s="580">
        <v>0</v>
      </c>
      <c r="I196" s="70">
        <f>G196*AO196</f>
        <v>0</v>
      </c>
      <c r="J196" s="70">
        <f>G196*AP196</f>
        <v>0</v>
      </c>
      <c r="K196" s="70">
        <f>G196*H196</f>
        <v>0</v>
      </c>
      <c r="L196" s="71" t="s">
        <v>282</v>
      </c>
      <c r="Z196" s="70">
        <f>IF(AQ196="5",BJ196,0)</f>
        <v>0</v>
      </c>
      <c r="AB196" s="70">
        <f>IF(AQ196="1",BH196,0)</f>
        <v>0</v>
      </c>
      <c r="AC196" s="70">
        <f>IF(AQ196="1",BI196,0)</f>
        <v>0</v>
      </c>
      <c r="AD196" s="70">
        <f>IF(AQ196="7",BH196,0)</f>
        <v>0</v>
      </c>
      <c r="AE196" s="70">
        <f>IF(AQ196="7",BI196,0)</f>
        <v>0</v>
      </c>
      <c r="AF196" s="70">
        <f>IF(AQ196="2",BH196,0)</f>
        <v>0</v>
      </c>
      <c r="AG196" s="70">
        <f>IF(AQ196="2",BI196,0)</f>
        <v>0</v>
      </c>
      <c r="AH196" s="70">
        <f>IF(AQ196="0",BJ196,0)</f>
        <v>0</v>
      </c>
      <c r="AI196" s="67" t="s">
        <v>177</v>
      </c>
      <c r="AJ196" s="70">
        <f>IF(AN196=0,K196,0)</f>
        <v>0</v>
      </c>
      <c r="AK196" s="70">
        <f>IF(AN196=15,K196,0)</f>
        <v>0</v>
      </c>
      <c r="AL196" s="70">
        <f>IF(AN196=21,K196,0)</f>
        <v>0</v>
      </c>
      <c r="AN196" s="70">
        <v>21</v>
      </c>
      <c r="AO196" s="70">
        <f>H196*0</f>
        <v>0</v>
      </c>
      <c r="AP196" s="70">
        <f>H196*(1-0)</f>
        <v>0</v>
      </c>
      <c r="AQ196" s="71" t="s">
        <v>106</v>
      </c>
      <c r="AV196" s="70">
        <f>AW196+AX196</f>
        <v>0</v>
      </c>
      <c r="AW196" s="70">
        <f>G196*AO196</f>
        <v>0</v>
      </c>
      <c r="AX196" s="70">
        <f>G196*AP196</f>
        <v>0</v>
      </c>
      <c r="AY196" s="71" t="s">
        <v>283</v>
      </c>
      <c r="AZ196" s="71" t="s">
        <v>438</v>
      </c>
      <c r="BA196" s="67" t="s">
        <v>439</v>
      </c>
      <c r="BC196" s="70">
        <f>AW196+AX196</f>
        <v>0</v>
      </c>
      <c r="BD196" s="70">
        <f>H196/(100-BE196)*100</f>
        <v>0</v>
      </c>
      <c r="BE196" s="70">
        <v>0</v>
      </c>
      <c r="BF196" s="70">
        <f>196</f>
        <v>196</v>
      </c>
      <c r="BH196" s="70">
        <f>G196*AO196</f>
        <v>0</v>
      </c>
      <c r="BI196" s="70">
        <f>G196*AP196</f>
        <v>0</v>
      </c>
      <c r="BJ196" s="70">
        <f>G196*H196</f>
        <v>0</v>
      </c>
    </row>
    <row r="197" spans="2:12" ht="12.75" customHeight="1">
      <c r="B197" s="75" t="s">
        <v>67</v>
      </c>
      <c r="C197" s="725" t="s">
        <v>445</v>
      </c>
      <c r="D197" s="726"/>
      <c r="E197" s="726"/>
      <c r="F197" s="726"/>
      <c r="G197" s="726"/>
      <c r="H197" s="726"/>
      <c r="I197" s="726"/>
      <c r="J197" s="726"/>
      <c r="K197" s="726"/>
      <c r="L197" s="726"/>
    </row>
    <row r="198" spans="1:62" ht="15">
      <c r="A198" s="69" t="s">
        <v>446</v>
      </c>
      <c r="B198" s="69" t="s">
        <v>322</v>
      </c>
      <c r="C198" s="696" t="s">
        <v>447</v>
      </c>
      <c r="D198" s="693"/>
      <c r="E198" s="693"/>
      <c r="F198" s="69" t="s">
        <v>253</v>
      </c>
      <c r="G198" s="70">
        <v>5.5</v>
      </c>
      <c r="H198" s="580">
        <v>0</v>
      </c>
      <c r="I198" s="70">
        <f>G198*AO198</f>
        <v>0</v>
      </c>
      <c r="J198" s="70">
        <f>G198*AP198</f>
        <v>0</v>
      </c>
      <c r="K198" s="70">
        <f>G198*H198</f>
        <v>0</v>
      </c>
      <c r="L198" s="71" t="s">
        <v>120</v>
      </c>
      <c r="Z198" s="70">
        <f>IF(AQ198="5",BJ198,0)</f>
        <v>0</v>
      </c>
      <c r="AB198" s="70">
        <f>IF(AQ198="1",BH198,0)</f>
        <v>0</v>
      </c>
      <c r="AC198" s="70">
        <f>IF(AQ198="1",BI198,0)</f>
        <v>0</v>
      </c>
      <c r="AD198" s="70">
        <f>IF(AQ198="7",BH198,0)</f>
        <v>0</v>
      </c>
      <c r="AE198" s="70">
        <f>IF(AQ198="7",BI198,0)</f>
        <v>0</v>
      </c>
      <c r="AF198" s="70">
        <f>IF(AQ198="2",BH198,0)</f>
        <v>0</v>
      </c>
      <c r="AG198" s="70">
        <f>IF(AQ198="2",BI198,0)</f>
        <v>0</v>
      </c>
      <c r="AH198" s="70">
        <f>IF(AQ198="0",BJ198,0)</f>
        <v>0</v>
      </c>
      <c r="AI198" s="67" t="s">
        <v>177</v>
      </c>
      <c r="AJ198" s="70">
        <f>IF(AN198=0,K198,0)</f>
        <v>0</v>
      </c>
      <c r="AK198" s="70">
        <f>IF(AN198=15,K198,0)</f>
        <v>0</v>
      </c>
      <c r="AL198" s="70">
        <f>IF(AN198=21,K198,0)</f>
        <v>0</v>
      </c>
      <c r="AN198" s="70">
        <v>21</v>
      </c>
      <c r="AO198" s="70">
        <f>H198*0</f>
        <v>0</v>
      </c>
      <c r="AP198" s="70">
        <f>H198*(1-0)</f>
        <v>0</v>
      </c>
      <c r="AQ198" s="71" t="s">
        <v>106</v>
      </c>
      <c r="AV198" s="70">
        <f>AW198+AX198</f>
        <v>0</v>
      </c>
      <c r="AW198" s="70">
        <f>G198*AO198</f>
        <v>0</v>
      </c>
      <c r="AX198" s="70">
        <f>G198*AP198</f>
        <v>0</v>
      </c>
      <c r="AY198" s="71" t="s">
        <v>283</v>
      </c>
      <c r="AZ198" s="71" t="s">
        <v>438</v>
      </c>
      <c r="BA198" s="67" t="s">
        <v>439</v>
      </c>
      <c r="BC198" s="70">
        <f>AW198+AX198</f>
        <v>0</v>
      </c>
      <c r="BD198" s="70">
        <f>H198/(100-BE198)*100</f>
        <v>0</v>
      </c>
      <c r="BE198" s="70">
        <v>0</v>
      </c>
      <c r="BF198" s="70">
        <f>198</f>
        <v>198</v>
      </c>
      <c r="BH198" s="70">
        <f>G198*AO198</f>
        <v>0</v>
      </c>
      <c r="BI198" s="70">
        <f>G198*AP198</f>
        <v>0</v>
      </c>
      <c r="BJ198" s="70">
        <f>G198*H198</f>
        <v>0</v>
      </c>
    </row>
    <row r="199" spans="1:62" ht="15">
      <c r="A199" s="69" t="s">
        <v>448</v>
      </c>
      <c r="B199" s="69" t="s">
        <v>325</v>
      </c>
      <c r="C199" s="696" t="s">
        <v>326</v>
      </c>
      <c r="D199" s="693"/>
      <c r="E199" s="693"/>
      <c r="F199" s="69" t="s">
        <v>253</v>
      </c>
      <c r="G199" s="70">
        <v>5.5</v>
      </c>
      <c r="H199" s="580">
        <v>0</v>
      </c>
      <c r="I199" s="70">
        <f>G199*AO199</f>
        <v>0</v>
      </c>
      <c r="J199" s="70">
        <f>G199*AP199</f>
        <v>0</v>
      </c>
      <c r="K199" s="70">
        <f>G199*H199</f>
        <v>0</v>
      </c>
      <c r="L199" s="71" t="s">
        <v>282</v>
      </c>
      <c r="Z199" s="70">
        <f>IF(AQ199="5",BJ199,0)</f>
        <v>0</v>
      </c>
      <c r="AB199" s="70">
        <f>IF(AQ199="1",BH199,0)</f>
        <v>0</v>
      </c>
      <c r="AC199" s="70">
        <f>IF(AQ199="1",BI199,0)</f>
        <v>0</v>
      </c>
      <c r="AD199" s="70">
        <f>IF(AQ199="7",BH199,0)</f>
        <v>0</v>
      </c>
      <c r="AE199" s="70">
        <f>IF(AQ199="7",BI199,0)</f>
        <v>0</v>
      </c>
      <c r="AF199" s="70">
        <f>IF(AQ199="2",BH199,0)</f>
        <v>0</v>
      </c>
      <c r="AG199" s="70">
        <f>IF(AQ199="2",BI199,0)</f>
        <v>0</v>
      </c>
      <c r="AH199" s="70">
        <f>IF(AQ199="0",BJ199,0)</f>
        <v>0</v>
      </c>
      <c r="AI199" s="67" t="s">
        <v>177</v>
      </c>
      <c r="AJ199" s="70">
        <f>IF(AN199=0,K199,0)</f>
        <v>0</v>
      </c>
      <c r="AK199" s="70">
        <f>IF(AN199=15,K199,0)</f>
        <v>0</v>
      </c>
      <c r="AL199" s="70">
        <f>IF(AN199=21,K199,0)</f>
        <v>0</v>
      </c>
      <c r="AN199" s="70">
        <v>21</v>
      </c>
      <c r="AO199" s="70">
        <f>H199*0</f>
        <v>0</v>
      </c>
      <c r="AP199" s="70">
        <f>H199*(1-0)</f>
        <v>0</v>
      </c>
      <c r="AQ199" s="71" t="s">
        <v>106</v>
      </c>
      <c r="AV199" s="70">
        <f>AW199+AX199</f>
        <v>0</v>
      </c>
      <c r="AW199" s="70">
        <f>G199*AO199</f>
        <v>0</v>
      </c>
      <c r="AX199" s="70">
        <f>G199*AP199</f>
        <v>0</v>
      </c>
      <c r="AY199" s="71" t="s">
        <v>283</v>
      </c>
      <c r="AZ199" s="71" t="s">
        <v>438</v>
      </c>
      <c r="BA199" s="67" t="s">
        <v>439</v>
      </c>
      <c r="BC199" s="70">
        <f>AW199+AX199</f>
        <v>0</v>
      </c>
      <c r="BD199" s="70">
        <f>H199/(100-BE199)*100</f>
        <v>0</v>
      </c>
      <c r="BE199" s="70">
        <v>0</v>
      </c>
      <c r="BF199" s="70">
        <f>199</f>
        <v>199</v>
      </c>
      <c r="BH199" s="70">
        <f>G199*AO199</f>
        <v>0</v>
      </c>
      <c r="BI199" s="70">
        <f>G199*AP199</f>
        <v>0</v>
      </c>
      <c r="BJ199" s="70">
        <f>G199*H199</f>
        <v>0</v>
      </c>
    </row>
    <row r="200" spans="1:47" ht="15">
      <c r="A200" s="88"/>
      <c r="B200" s="89" t="s">
        <v>206</v>
      </c>
      <c r="C200" s="710" t="s">
        <v>449</v>
      </c>
      <c r="D200" s="711"/>
      <c r="E200" s="711"/>
      <c r="F200" s="88" t="s">
        <v>70</v>
      </c>
      <c r="G200" s="88" t="s">
        <v>70</v>
      </c>
      <c r="H200" s="88" t="s">
        <v>70</v>
      </c>
      <c r="I200" s="90">
        <f>SUM(I201:I206)</f>
        <v>0</v>
      </c>
      <c r="J200" s="90">
        <f>SUM(J201:J206)</f>
        <v>0</v>
      </c>
      <c r="K200" s="90">
        <f>SUM(K201:K206)</f>
        <v>0</v>
      </c>
      <c r="L200" s="91"/>
      <c r="AI200" s="67" t="s">
        <v>177</v>
      </c>
      <c r="AS200" s="68">
        <f>SUM(AJ201:AJ206)</f>
        <v>0</v>
      </c>
      <c r="AT200" s="68">
        <f>SUM(AK201:AK206)</f>
        <v>0</v>
      </c>
      <c r="AU200" s="68">
        <f>SUM(AL201:AL206)</f>
        <v>0</v>
      </c>
    </row>
    <row r="201" spans="1:62" ht="15">
      <c r="A201" s="69" t="s">
        <v>450</v>
      </c>
      <c r="B201" s="69" t="s">
        <v>451</v>
      </c>
      <c r="C201" s="696" t="s">
        <v>452</v>
      </c>
      <c r="D201" s="693"/>
      <c r="E201" s="693"/>
      <c r="F201" s="69" t="s">
        <v>253</v>
      </c>
      <c r="G201" s="70">
        <v>3.1</v>
      </c>
      <c r="H201" s="580">
        <v>0</v>
      </c>
      <c r="I201" s="70">
        <f>G201*AO201</f>
        <v>0</v>
      </c>
      <c r="J201" s="70">
        <f>G201*AP201</f>
        <v>0</v>
      </c>
      <c r="K201" s="70">
        <f>G201*H201</f>
        <v>0</v>
      </c>
      <c r="L201" s="71" t="s">
        <v>120</v>
      </c>
      <c r="Z201" s="70">
        <f>IF(AQ201="5",BJ201,0)</f>
        <v>0</v>
      </c>
      <c r="AB201" s="70">
        <f>IF(AQ201="1",BH201,0)</f>
        <v>0</v>
      </c>
      <c r="AC201" s="70">
        <f>IF(AQ201="1",BI201,0)</f>
        <v>0</v>
      </c>
      <c r="AD201" s="70">
        <f>IF(AQ201="7",BH201,0)</f>
        <v>0</v>
      </c>
      <c r="AE201" s="70">
        <f>IF(AQ201="7",BI201,0)</f>
        <v>0</v>
      </c>
      <c r="AF201" s="70">
        <f>IF(AQ201="2",BH201,0)</f>
        <v>0</v>
      </c>
      <c r="AG201" s="70">
        <f>IF(AQ201="2",BI201,0)</f>
        <v>0</v>
      </c>
      <c r="AH201" s="70">
        <f>IF(AQ201="0",BJ201,0)</f>
        <v>0</v>
      </c>
      <c r="AI201" s="67" t="s">
        <v>177</v>
      </c>
      <c r="AJ201" s="70">
        <f>IF(AN201=0,K201,0)</f>
        <v>0</v>
      </c>
      <c r="AK201" s="70">
        <f>IF(AN201=15,K201,0)</f>
        <v>0</v>
      </c>
      <c r="AL201" s="70">
        <f>IF(AN201=21,K201,0)</f>
        <v>0</v>
      </c>
      <c r="AN201" s="70">
        <v>21</v>
      </c>
      <c r="AO201" s="70">
        <f>H201*0.886188714411447</f>
        <v>0</v>
      </c>
      <c r="AP201" s="70">
        <f>H201*(1-0.886188714411447)</f>
        <v>0</v>
      </c>
      <c r="AQ201" s="71" t="s">
        <v>106</v>
      </c>
      <c r="AV201" s="70">
        <f>AW201+AX201</f>
        <v>0</v>
      </c>
      <c r="AW201" s="70">
        <f>G201*AO201</f>
        <v>0</v>
      </c>
      <c r="AX201" s="70">
        <f>G201*AP201</f>
        <v>0</v>
      </c>
      <c r="AY201" s="71" t="s">
        <v>453</v>
      </c>
      <c r="AZ201" s="71" t="s">
        <v>454</v>
      </c>
      <c r="BA201" s="67" t="s">
        <v>439</v>
      </c>
      <c r="BC201" s="70">
        <f>AW201+AX201</f>
        <v>0</v>
      </c>
      <c r="BD201" s="70">
        <f>H201/(100-BE201)*100</f>
        <v>0</v>
      </c>
      <c r="BE201" s="70">
        <v>0</v>
      </c>
      <c r="BF201" s="70">
        <f>201</f>
        <v>201</v>
      </c>
      <c r="BH201" s="70">
        <f>G201*AO201</f>
        <v>0</v>
      </c>
      <c r="BI201" s="70">
        <f>G201*AP201</f>
        <v>0</v>
      </c>
      <c r="BJ201" s="70">
        <f>G201*H201</f>
        <v>0</v>
      </c>
    </row>
    <row r="202" spans="1:62" ht="15">
      <c r="A202" s="69" t="s">
        <v>455</v>
      </c>
      <c r="B202" s="69" t="s">
        <v>456</v>
      </c>
      <c r="C202" s="696" t="s">
        <v>457</v>
      </c>
      <c r="D202" s="693"/>
      <c r="E202" s="693"/>
      <c r="F202" s="69" t="s">
        <v>253</v>
      </c>
      <c r="G202" s="70">
        <v>35.5</v>
      </c>
      <c r="H202" s="580">
        <v>0</v>
      </c>
      <c r="I202" s="70">
        <f>G202*AO202</f>
        <v>0</v>
      </c>
      <c r="J202" s="70">
        <f>G202*AP202</f>
        <v>0</v>
      </c>
      <c r="K202" s="70">
        <f>G202*H202</f>
        <v>0</v>
      </c>
      <c r="L202" s="71" t="s">
        <v>120</v>
      </c>
      <c r="Z202" s="70">
        <f>IF(AQ202="5",BJ202,0)</f>
        <v>0</v>
      </c>
      <c r="AB202" s="70">
        <f>IF(AQ202="1",BH202,0)</f>
        <v>0</v>
      </c>
      <c r="AC202" s="70">
        <f>IF(AQ202="1",BI202,0)</f>
        <v>0</v>
      </c>
      <c r="AD202" s="70">
        <f>IF(AQ202="7",BH202,0)</f>
        <v>0</v>
      </c>
      <c r="AE202" s="70">
        <f>IF(AQ202="7",BI202,0)</f>
        <v>0</v>
      </c>
      <c r="AF202" s="70">
        <f>IF(AQ202="2",BH202,0)</f>
        <v>0</v>
      </c>
      <c r="AG202" s="70">
        <f>IF(AQ202="2",BI202,0)</f>
        <v>0</v>
      </c>
      <c r="AH202" s="70">
        <f>IF(AQ202="0",BJ202,0)</f>
        <v>0</v>
      </c>
      <c r="AI202" s="67" t="s">
        <v>177</v>
      </c>
      <c r="AJ202" s="70">
        <f>IF(AN202=0,K202,0)</f>
        <v>0</v>
      </c>
      <c r="AK202" s="70">
        <f>IF(AN202=15,K202,0)</f>
        <v>0</v>
      </c>
      <c r="AL202" s="70">
        <f>IF(AN202=21,K202,0)</f>
        <v>0</v>
      </c>
      <c r="AN202" s="70">
        <v>21</v>
      </c>
      <c r="AO202" s="70">
        <f>H202*0.48948</f>
        <v>0</v>
      </c>
      <c r="AP202" s="70">
        <f>H202*(1-0.48948)</f>
        <v>0</v>
      </c>
      <c r="AQ202" s="71" t="s">
        <v>106</v>
      </c>
      <c r="AV202" s="70">
        <f>AW202+AX202</f>
        <v>0</v>
      </c>
      <c r="AW202" s="70">
        <f>G202*AO202</f>
        <v>0</v>
      </c>
      <c r="AX202" s="70">
        <f>G202*AP202</f>
        <v>0</v>
      </c>
      <c r="AY202" s="71" t="s">
        <v>453</v>
      </c>
      <c r="AZ202" s="71" t="s">
        <v>454</v>
      </c>
      <c r="BA202" s="67" t="s">
        <v>439</v>
      </c>
      <c r="BC202" s="70">
        <f>AW202+AX202</f>
        <v>0</v>
      </c>
      <c r="BD202" s="70">
        <f>H202/(100-BE202)*100</f>
        <v>0</v>
      </c>
      <c r="BE202" s="70">
        <v>0</v>
      </c>
      <c r="BF202" s="70">
        <f>202</f>
        <v>202</v>
      </c>
      <c r="BH202" s="70">
        <f>G202*AO202</f>
        <v>0</v>
      </c>
      <c r="BI202" s="70">
        <f>G202*AP202</f>
        <v>0</v>
      </c>
      <c r="BJ202" s="70">
        <f>G202*H202</f>
        <v>0</v>
      </c>
    </row>
    <row r="203" spans="1:62" ht="15">
      <c r="A203" s="69" t="s">
        <v>458</v>
      </c>
      <c r="B203" s="69" t="s">
        <v>459</v>
      </c>
      <c r="C203" s="696" t="s">
        <v>460</v>
      </c>
      <c r="D203" s="693"/>
      <c r="E203" s="693"/>
      <c r="F203" s="69" t="s">
        <v>109</v>
      </c>
      <c r="G203" s="70">
        <v>159</v>
      </c>
      <c r="H203" s="580">
        <v>0</v>
      </c>
      <c r="I203" s="70">
        <f>G203*AO203</f>
        <v>0</v>
      </c>
      <c r="J203" s="70">
        <f>G203*AP203</f>
        <v>0</v>
      </c>
      <c r="K203" s="70">
        <f>G203*H203</f>
        <v>0</v>
      </c>
      <c r="L203" s="71" t="s">
        <v>461</v>
      </c>
      <c r="Z203" s="70">
        <f>IF(AQ203="5",BJ203,0)</f>
        <v>0</v>
      </c>
      <c r="AB203" s="70">
        <f>IF(AQ203="1",BH203,0)</f>
        <v>0</v>
      </c>
      <c r="AC203" s="70">
        <f>IF(AQ203="1",BI203,0)</f>
        <v>0</v>
      </c>
      <c r="AD203" s="70">
        <f>IF(AQ203="7",BH203,0)</f>
        <v>0</v>
      </c>
      <c r="AE203" s="70">
        <f>IF(AQ203="7",BI203,0)</f>
        <v>0</v>
      </c>
      <c r="AF203" s="70">
        <f>IF(AQ203="2",BH203,0)</f>
        <v>0</v>
      </c>
      <c r="AG203" s="70">
        <f>IF(AQ203="2",BI203,0)</f>
        <v>0</v>
      </c>
      <c r="AH203" s="70">
        <f>IF(AQ203="0",BJ203,0)</f>
        <v>0</v>
      </c>
      <c r="AI203" s="67" t="s">
        <v>177</v>
      </c>
      <c r="AJ203" s="70">
        <f>IF(AN203=0,K203,0)</f>
        <v>0</v>
      </c>
      <c r="AK203" s="70">
        <f>IF(AN203=15,K203,0)</f>
        <v>0</v>
      </c>
      <c r="AL203" s="70">
        <f>IF(AN203=21,K203,0)</f>
        <v>0</v>
      </c>
      <c r="AN203" s="70">
        <v>21</v>
      </c>
      <c r="AO203" s="70">
        <f>H203*0.472437810945274</f>
        <v>0</v>
      </c>
      <c r="AP203" s="70">
        <f>H203*(1-0.472437810945274)</f>
        <v>0</v>
      </c>
      <c r="AQ203" s="71" t="s">
        <v>106</v>
      </c>
      <c r="AV203" s="70">
        <f>AW203+AX203</f>
        <v>0</v>
      </c>
      <c r="AW203" s="70">
        <f>G203*AO203</f>
        <v>0</v>
      </c>
      <c r="AX203" s="70">
        <f>G203*AP203</f>
        <v>0</v>
      </c>
      <c r="AY203" s="71" t="s">
        <v>453</v>
      </c>
      <c r="AZ203" s="71" t="s">
        <v>454</v>
      </c>
      <c r="BA203" s="67" t="s">
        <v>439</v>
      </c>
      <c r="BC203" s="70">
        <f>AW203+AX203</f>
        <v>0</v>
      </c>
      <c r="BD203" s="70">
        <f>H203/(100-BE203)*100</f>
        <v>0</v>
      </c>
      <c r="BE203" s="70">
        <v>0</v>
      </c>
      <c r="BF203" s="70">
        <f>203</f>
        <v>203</v>
      </c>
      <c r="BH203" s="70">
        <f>G203*AO203</f>
        <v>0</v>
      </c>
      <c r="BI203" s="70">
        <f>G203*AP203</f>
        <v>0</v>
      </c>
      <c r="BJ203" s="70">
        <f>G203*H203</f>
        <v>0</v>
      </c>
    </row>
    <row r="204" spans="2:12" ht="12.75" customHeight="1">
      <c r="B204" s="75" t="s">
        <v>67</v>
      </c>
      <c r="C204" s="725" t="s">
        <v>462</v>
      </c>
      <c r="D204" s="726"/>
      <c r="E204" s="726"/>
      <c r="F204" s="726"/>
      <c r="G204" s="726"/>
      <c r="H204" s="726"/>
      <c r="I204" s="726"/>
      <c r="J204" s="726"/>
      <c r="K204" s="726"/>
      <c r="L204" s="726"/>
    </row>
    <row r="205" spans="1:62" ht="15">
      <c r="A205" s="69" t="s">
        <v>463</v>
      </c>
      <c r="B205" s="69" t="s">
        <v>464</v>
      </c>
      <c r="C205" s="696" t="s">
        <v>465</v>
      </c>
      <c r="D205" s="693"/>
      <c r="E205" s="693"/>
      <c r="F205" s="69" t="s">
        <v>109</v>
      </c>
      <c r="G205" s="70">
        <v>280.7</v>
      </c>
      <c r="H205" s="580">
        <v>0</v>
      </c>
      <c r="I205" s="70">
        <f>G205*AO205</f>
        <v>0</v>
      </c>
      <c r="J205" s="70">
        <f>G205*AP205</f>
        <v>0</v>
      </c>
      <c r="K205" s="70">
        <f>G205*H205</f>
        <v>0</v>
      </c>
      <c r="L205" s="71" t="s">
        <v>120</v>
      </c>
      <c r="Z205" s="70">
        <f>IF(AQ205="5",BJ205,0)</f>
        <v>0</v>
      </c>
      <c r="AB205" s="70">
        <f>IF(AQ205="1",BH205,0)</f>
        <v>0</v>
      </c>
      <c r="AC205" s="70">
        <f>IF(AQ205="1",BI205,0)</f>
        <v>0</v>
      </c>
      <c r="AD205" s="70">
        <f>IF(AQ205="7",BH205,0)</f>
        <v>0</v>
      </c>
      <c r="AE205" s="70">
        <f>IF(AQ205="7",BI205,0)</f>
        <v>0</v>
      </c>
      <c r="AF205" s="70">
        <f>IF(AQ205="2",BH205,0)</f>
        <v>0</v>
      </c>
      <c r="AG205" s="70">
        <f>IF(AQ205="2",BI205,0)</f>
        <v>0</v>
      </c>
      <c r="AH205" s="70">
        <f>IF(AQ205="0",BJ205,0)</f>
        <v>0</v>
      </c>
      <c r="AI205" s="67" t="s">
        <v>177</v>
      </c>
      <c r="AJ205" s="70">
        <f>IF(AN205=0,K205,0)</f>
        <v>0</v>
      </c>
      <c r="AK205" s="70">
        <f>IF(AN205=15,K205,0)</f>
        <v>0</v>
      </c>
      <c r="AL205" s="70">
        <f>IF(AN205=21,K205,0)</f>
        <v>0</v>
      </c>
      <c r="AN205" s="70">
        <v>21</v>
      </c>
      <c r="AO205" s="70">
        <f>H205*0</f>
        <v>0</v>
      </c>
      <c r="AP205" s="70">
        <f>H205*(1-0)</f>
        <v>0</v>
      </c>
      <c r="AQ205" s="71" t="s">
        <v>106</v>
      </c>
      <c r="AV205" s="70">
        <f>AW205+AX205</f>
        <v>0</v>
      </c>
      <c r="AW205" s="70">
        <f>G205*AO205</f>
        <v>0</v>
      </c>
      <c r="AX205" s="70">
        <f>G205*AP205</f>
        <v>0</v>
      </c>
      <c r="AY205" s="71" t="s">
        <v>453</v>
      </c>
      <c r="AZ205" s="71" t="s">
        <v>454</v>
      </c>
      <c r="BA205" s="67" t="s">
        <v>439</v>
      </c>
      <c r="BC205" s="70">
        <f>AW205+AX205</f>
        <v>0</v>
      </c>
      <c r="BD205" s="70">
        <f>H205/(100-BE205)*100</f>
        <v>0</v>
      </c>
      <c r="BE205" s="70">
        <v>0</v>
      </c>
      <c r="BF205" s="70">
        <f>205</f>
        <v>205</v>
      </c>
      <c r="BH205" s="70">
        <f>G205*AO205</f>
        <v>0</v>
      </c>
      <c r="BI205" s="70">
        <f>G205*AP205</f>
        <v>0</v>
      </c>
      <c r="BJ205" s="70">
        <f>G205*H205</f>
        <v>0</v>
      </c>
    </row>
    <row r="206" spans="1:62" ht="15">
      <c r="A206" s="69" t="s">
        <v>466</v>
      </c>
      <c r="B206" s="69" t="s">
        <v>467</v>
      </c>
      <c r="C206" s="696" t="s">
        <v>468</v>
      </c>
      <c r="D206" s="693"/>
      <c r="E206" s="693"/>
      <c r="F206" s="69" t="s">
        <v>109</v>
      </c>
      <c r="G206" s="70">
        <v>322.8</v>
      </c>
      <c r="H206" s="580">
        <v>0</v>
      </c>
      <c r="I206" s="70">
        <f>G206*AO206</f>
        <v>0</v>
      </c>
      <c r="J206" s="70">
        <f>G206*AP206</f>
        <v>0</v>
      </c>
      <c r="K206" s="70">
        <f>G206*H206</f>
        <v>0</v>
      </c>
      <c r="L206" s="71" t="s">
        <v>120</v>
      </c>
      <c r="Z206" s="70">
        <f>IF(AQ206="5",BJ206,0)</f>
        <v>0</v>
      </c>
      <c r="AB206" s="70">
        <f>IF(AQ206="1",BH206,0)</f>
        <v>0</v>
      </c>
      <c r="AC206" s="70">
        <f>IF(AQ206="1",BI206,0)</f>
        <v>0</v>
      </c>
      <c r="AD206" s="70">
        <f>IF(AQ206="7",BH206,0)</f>
        <v>0</v>
      </c>
      <c r="AE206" s="70">
        <f>IF(AQ206="7",BI206,0)</f>
        <v>0</v>
      </c>
      <c r="AF206" s="70">
        <f>IF(AQ206="2",BH206,0)</f>
        <v>0</v>
      </c>
      <c r="AG206" s="70">
        <f>IF(AQ206="2",BI206,0)</f>
        <v>0</v>
      </c>
      <c r="AH206" s="70">
        <f>IF(AQ206="0",BJ206,0)</f>
        <v>0</v>
      </c>
      <c r="AI206" s="67" t="s">
        <v>177</v>
      </c>
      <c r="AJ206" s="70">
        <f>IF(AN206=0,K206,0)</f>
        <v>0</v>
      </c>
      <c r="AK206" s="70">
        <f>IF(AN206=15,K206,0)</f>
        <v>0</v>
      </c>
      <c r="AL206" s="70">
        <f>IF(AN206=21,K206,0)</f>
        <v>0</v>
      </c>
      <c r="AN206" s="70">
        <v>21</v>
      </c>
      <c r="AO206" s="70">
        <f>H206*0.13206551889857</f>
        <v>0</v>
      </c>
      <c r="AP206" s="70">
        <f>H206*(1-0.13206551889857)</f>
        <v>0</v>
      </c>
      <c r="AQ206" s="71" t="s">
        <v>106</v>
      </c>
      <c r="AV206" s="70">
        <f>AW206+AX206</f>
        <v>0</v>
      </c>
      <c r="AW206" s="70">
        <f>G206*AO206</f>
        <v>0</v>
      </c>
      <c r="AX206" s="70">
        <f>G206*AP206</f>
        <v>0</v>
      </c>
      <c r="AY206" s="71" t="s">
        <v>453</v>
      </c>
      <c r="AZ206" s="71" t="s">
        <v>454</v>
      </c>
      <c r="BA206" s="67" t="s">
        <v>439</v>
      </c>
      <c r="BC206" s="70">
        <f>AW206+AX206</f>
        <v>0</v>
      </c>
      <c r="BD206" s="70">
        <f>H206/(100-BE206)*100</f>
        <v>0</v>
      </c>
      <c r="BE206" s="70">
        <v>0</v>
      </c>
      <c r="BF206" s="70">
        <f>206</f>
        <v>206</v>
      </c>
      <c r="BH206" s="70">
        <f>G206*AO206</f>
        <v>0</v>
      </c>
      <c r="BI206" s="70">
        <f>G206*AP206</f>
        <v>0</v>
      </c>
      <c r="BJ206" s="70">
        <f>G206*H206</f>
        <v>0</v>
      </c>
    </row>
    <row r="207" spans="1:47" ht="15">
      <c r="A207" s="88"/>
      <c r="B207" s="89" t="s">
        <v>226</v>
      </c>
      <c r="C207" s="710" t="s">
        <v>469</v>
      </c>
      <c r="D207" s="711"/>
      <c r="E207" s="711"/>
      <c r="F207" s="88" t="s">
        <v>70</v>
      </c>
      <c r="G207" s="88" t="s">
        <v>70</v>
      </c>
      <c r="H207" s="88" t="s">
        <v>70</v>
      </c>
      <c r="I207" s="90">
        <f>SUM(I208:I208)</f>
        <v>0</v>
      </c>
      <c r="J207" s="90">
        <f>SUM(J208:J208)</f>
        <v>0</v>
      </c>
      <c r="K207" s="90">
        <f>SUM(K208:K208)</f>
        <v>0</v>
      </c>
      <c r="L207" s="91"/>
      <c r="AI207" s="67" t="s">
        <v>177</v>
      </c>
      <c r="AS207" s="68">
        <f>SUM(AJ208:AJ208)</f>
        <v>0</v>
      </c>
      <c r="AT207" s="68">
        <f>SUM(AK208:AK208)</f>
        <v>0</v>
      </c>
      <c r="AU207" s="68">
        <f>SUM(AL208:AL208)</f>
        <v>0</v>
      </c>
    </row>
    <row r="208" spans="1:62" ht="15">
      <c r="A208" s="69" t="s">
        <v>470</v>
      </c>
      <c r="B208" s="69" t="s">
        <v>471</v>
      </c>
      <c r="C208" s="696" t="s">
        <v>472</v>
      </c>
      <c r="D208" s="693"/>
      <c r="E208" s="693"/>
      <c r="F208" s="69" t="s">
        <v>253</v>
      </c>
      <c r="G208" s="70">
        <v>29.4</v>
      </c>
      <c r="H208" s="580">
        <v>0</v>
      </c>
      <c r="I208" s="70">
        <f>G208*AO208</f>
        <v>0</v>
      </c>
      <c r="J208" s="70">
        <f>G208*AP208</f>
        <v>0</v>
      </c>
      <c r="K208" s="70">
        <f>G208*H208</f>
        <v>0</v>
      </c>
      <c r="L208" s="71" t="s">
        <v>120</v>
      </c>
      <c r="Z208" s="70">
        <f>IF(AQ208="5",BJ208,0)</f>
        <v>0</v>
      </c>
      <c r="AB208" s="70">
        <f>IF(AQ208="1",BH208,0)</f>
        <v>0</v>
      </c>
      <c r="AC208" s="70">
        <f>IF(AQ208="1",BI208,0)</f>
        <v>0</v>
      </c>
      <c r="AD208" s="70">
        <f>IF(AQ208="7",BH208,0)</f>
        <v>0</v>
      </c>
      <c r="AE208" s="70">
        <f>IF(AQ208="7",BI208,0)</f>
        <v>0</v>
      </c>
      <c r="AF208" s="70">
        <f>IF(AQ208="2",BH208,0)</f>
        <v>0</v>
      </c>
      <c r="AG208" s="70">
        <f>IF(AQ208="2",BI208,0)</f>
        <v>0</v>
      </c>
      <c r="AH208" s="70">
        <f>IF(AQ208="0",BJ208,0)</f>
        <v>0</v>
      </c>
      <c r="AI208" s="67" t="s">
        <v>177</v>
      </c>
      <c r="AJ208" s="70">
        <f>IF(AN208=0,K208,0)</f>
        <v>0</v>
      </c>
      <c r="AK208" s="70">
        <f>IF(AN208=15,K208,0)</f>
        <v>0</v>
      </c>
      <c r="AL208" s="70">
        <f>IF(AN208=21,K208,0)</f>
        <v>0</v>
      </c>
      <c r="AN208" s="70">
        <v>21</v>
      </c>
      <c r="AO208" s="70">
        <f>H208*0.590959907834101</f>
        <v>0</v>
      </c>
      <c r="AP208" s="70">
        <f>H208*(1-0.590959907834101)</f>
        <v>0</v>
      </c>
      <c r="AQ208" s="71" t="s">
        <v>106</v>
      </c>
      <c r="AV208" s="70">
        <f>AW208+AX208</f>
        <v>0</v>
      </c>
      <c r="AW208" s="70">
        <f>G208*AO208</f>
        <v>0</v>
      </c>
      <c r="AX208" s="70">
        <f>G208*AP208</f>
        <v>0</v>
      </c>
      <c r="AY208" s="71" t="s">
        <v>473</v>
      </c>
      <c r="AZ208" s="71" t="s">
        <v>474</v>
      </c>
      <c r="BA208" s="67" t="s">
        <v>439</v>
      </c>
      <c r="BC208" s="70">
        <f>AW208+AX208</f>
        <v>0</v>
      </c>
      <c r="BD208" s="70">
        <f>H208/(100-BE208)*100</f>
        <v>0</v>
      </c>
      <c r="BE208" s="70">
        <v>0</v>
      </c>
      <c r="BF208" s="70">
        <f>208</f>
        <v>208</v>
      </c>
      <c r="BH208" s="70">
        <f>G208*AO208</f>
        <v>0</v>
      </c>
      <c r="BI208" s="70">
        <f>G208*AP208</f>
        <v>0</v>
      </c>
      <c r="BJ208" s="70">
        <f>G208*H208</f>
        <v>0</v>
      </c>
    </row>
    <row r="209" spans="2:12" ht="64.05" customHeight="1">
      <c r="B209" s="75" t="s">
        <v>67</v>
      </c>
      <c r="C209" s="725" t="s">
        <v>475</v>
      </c>
      <c r="D209" s="726"/>
      <c r="E209" s="726"/>
      <c r="F209" s="726"/>
      <c r="G209" s="726"/>
      <c r="H209" s="726"/>
      <c r="I209" s="726"/>
      <c r="J209" s="726"/>
      <c r="K209" s="726"/>
      <c r="L209" s="726"/>
    </row>
    <row r="210" spans="1:47" ht="15">
      <c r="A210" s="88"/>
      <c r="B210" s="89" t="s">
        <v>476</v>
      </c>
      <c r="C210" s="710" t="s">
        <v>477</v>
      </c>
      <c r="D210" s="711"/>
      <c r="E210" s="711"/>
      <c r="F210" s="88" t="s">
        <v>70</v>
      </c>
      <c r="G210" s="88" t="s">
        <v>70</v>
      </c>
      <c r="H210" s="88" t="s">
        <v>70</v>
      </c>
      <c r="I210" s="90">
        <f>SUM(I211:I211)</f>
        <v>0</v>
      </c>
      <c r="J210" s="90">
        <f>SUM(J211:J211)</f>
        <v>0</v>
      </c>
      <c r="K210" s="90">
        <f>SUM(K211:K211)</f>
        <v>0</v>
      </c>
      <c r="L210" s="91"/>
      <c r="AI210" s="67" t="s">
        <v>177</v>
      </c>
      <c r="AS210" s="68">
        <f>SUM(AJ211:AJ211)</f>
        <v>0</v>
      </c>
      <c r="AT210" s="68">
        <f>SUM(AK211:AK211)</f>
        <v>0</v>
      </c>
      <c r="AU210" s="68">
        <f>SUM(AL211:AL211)</f>
        <v>0</v>
      </c>
    </row>
    <row r="211" spans="1:62" ht="15">
      <c r="A211" s="69" t="s">
        <v>478</v>
      </c>
      <c r="B211" s="69" t="s">
        <v>479</v>
      </c>
      <c r="C211" s="696" t="s">
        <v>480</v>
      </c>
      <c r="D211" s="693"/>
      <c r="E211" s="693"/>
      <c r="F211" s="69" t="s">
        <v>132</v>
      </c>
      <c r="G211" s="70">
        <v>185</v>
      </c>
      <c r="H211" s="580">
        <v>0</v>
      </c>
      <c r="I211" s="70">
        <f>G211*AO211</f>
        <v>0</v>
      </c>
      <c r="J211" s="70">
        <f>G211*AP211</f>
        <v>0</v>
      </c>
      <c r="K211" s="70">
        <f>G211*H211</f>
        <v>0</v>
      </c>
      <c r="L211" s="71" t="s">
        <v>481</v>
      </c>
      <c r="Z211" s="70">
        <f>IF(AQ211="5",BJ211,0)</f>
        <v>0</v>
      </c>
      <c r="AB211" s="70">
        <f>IF(AQ211="1",BH211,0)</f>
        <v>0</v>
      </c>
      <c r="AC211" s="70">
        <f>IF(AQ211="1",BI211,0)</f>
        <v>0</v>
      </c>
      <c r="AD211" s="70">
        <f>IF(AQ211="7",BH211,0)</f>
        <v>0</v>
      </c>
      <c r="AE211" s="70">
        <f>IF(AQ211="7",BI211,0)</f>
        <v>0</v>
      </c>
      <c r="AF211" s="70">
        <f>IF(AQ211="2",BH211,0)</f>
        <v>0</v>
      </c>
      <c r="AG211" s="70">
        <f>IF(AQ211="2",BI211,0)</f>
        <v>0</v>
      </c>
      <c r="AH211" s="70">
        <f>IF(AQ211="0",BJ211,0)</f>
        <v>0</v>
      </c>
      <c r="AI211" s="67" t="s">
        <v>177</v>
      </c>
      <c r="AJ211" s="70">
        <f>IF(AN211=0,K211,0)</f>
        <v>0</v>
      </c>
      <c r="AK211" s="70">
        <f>IF(AN211=15,K211,0)</f>
        <v>0</v>
      </c>
      <c r="AL211" s="70">
        <f>IF(AN211=21,K211,0)</f>
        <v>0</v>
      </c>
      <c r="AN211" s="70">
        <v>21</v>
      </c>
      <c r="AO211" s="70">
        <f>H211*0</f>
        <v>0</v>
      </c>
      <c r="AP211" s="70">
        <f>H211*(1-0)</f>
        <v>0</v>
      </c>
      <c r="AQ211" s="71" t="s">
        <v>124</v>
      </c>
      <c r="AV211" s="70">
        <f>AW211+AX211</f>
        <v>0</v>
      </c>
      <c r="AW211" s="70">
        <f>G211*AO211</f>
        <v>0</v>
      </c>
      <c r="AX211" s="70">
        <f>G211*AP211</f>
        <v>0</v>
      </c>
      <c r="AY211" s="71" t="s">
        <v>482</v>
      </c>
      <c r="AZ211" s="71" t="s">
        <v>483</v>
      </c>
      <c r="BA211" s="67" t="s">
        <v>439</v>
      </c>
      <c r="BC211" s="70">
        <f>AW211+AX211</f>
        <v>0</v>
      </c>
      <c r="BD211" s="70">
        <f>H211/(100-BE211)*100</f>
        <v>0</v>
      </c>
      <c r="BE211" s="70">
        <v>0</v>
      </c>
      <c r="BF211" s="70">
        <f>211</f>
        <v>211</v>
      </c>
      <c r="BH211" s="70">
        <f>G211*AO211</f>
        <v>0</v>
      </c>
      <c r="BI211" s="70">
        <f>G211*AP211</f>
        <v>0</v>
      </c>
      <c r="BJ211" s="70">
        <f>G211*H211</f>
        <v>0</v>
      </c>
    </row>
    <row r="212" spans="1:47" ht="15">
      <c r="A212" s="88"/>
      <c r="B212" s="89"/>
      <c r="C212" s="710" t="s">
        <v>52</v>
      </c>
      <c r="D212" s="711"/>
      <c r="E212" s="711"/>
      <c r="F212" s="88" t="s">
        <v>70</v>
      </c>
      <c r="G212" s="88" t="s">
        <v>70</v>
      </c>
      <c r="H212" s="88" t="s">
        <v>70</v>
      </c>
      <c r="I212" s="90">
        <f>SUM(I213:I214)</f>
        <v>0</v>
      </c>
      <c r="J212" s="90">
        <f>SUM(J213:J214)</f>
        <v>0</v>
      </c>
      <c r="K212" s="90">
        <f>SUM(K213:K214)</f>
        <v>0</v>
      </c>
      <c r="L212" s="91"/>
      <c r="AI212" s="67" t="s">
        <v>177</v>
      </c>
      <c r="AS212" s="68">
        <f>SUM(AJ213:AJ214)</f>
        <v>0</v>
      </c>
      <c r="AT212" s="68">
        <f>SUM(AK213:AK214)</f>
        <v>0</v>
      </c>
      <c r="AU212" s="68">
        <f>SUM(AL213:AL214)</f>
        <v>0</v>
      </c>
    </row>
    <row r="213" spans="1:62" ht="15">
      <c r="A213" s="69" t="s">
        <v>484</v>
      </c>
      <c r="B213" s="69" t="s">
        <v>485</v>
      </c>
      <c r="C213" s="696" t="s">
        <v>486</v>
      </c>
      <c r="D213" s="693"/>
      <c r="E213" s="693"/>
      <c r="F213" s="69" t="s">
        <v>407</v>
      </c>
      <c r="G213" s="70">
        <v>84.2</v>
      </c>
      <c r="H213" s="580">
        <v>0</v>
      </c>
      <c r="I213" s="70">
        <f>G213*AO213</f>
        <v>0</v>
      </c>
      <c r="J213" s="70">
        <f>G213*AP213</f>
        <v>0</v>
      </c>
      <c r="K213" s="70">
        <f>G213*H213</f>
        <v>0</v>
      </c>
      <c r="L213" s="71" t="s">
        <v>120</v>
      </c>
      <c r="Z213" s="70">
        <f>IF(AQ213="5",BJ213,0)</f>
        <v>0</v>
      </c>
      <c r="AB213" s="70">
        <f>IF(AQ213="1",BH213,0)</f>
        <v>0</v>
      </c>
      <c r="AC213" s="70">
        <f>IF(AQ213="1",BI213,0)</f>
        <v>0</v>
      </c>
      <c r="AD213" s="70">
        <f>IF(AQ213="7",BH213,0)</f>
        <v>0</v>
      </c>
      <c r="AE213" s="70">
        <f>IF(AQ213="7",BI213,0)</f>
        <v>0</v>
      </c>
      <c r="AF213" s="70">
        <f>IF(AQ213="2",BH213,0)</f>
        <v>0</v>
      </c>
      <c r="AG213" s="70">
        <f>IF(AQ213="2",BI213,0)</f>
        <v>0</v>
      </c>
      <c r="AH213" s="70">
        <f>IF(AQ213="0",BJ213,0)</f>
        <v>0</v>
      </c>
      <c r="AI213" s="67" t="s">
        <v>177</v>
      </c>
      <c r="AJ213" s="70">
        <f>IF(AN213=0,K213,0)</f>
        <v>0</v>
      </c>
      <c r="AK213" s="70">
        <f>IF(AN213=15,K213,0)</f>
        <v>0</v>
      </c>
      <c r="AL213" s="70">
        <f>IF(AN213=21,K213,0)</f>
        <v>0</v>
      </c>
      <c r="AN213" s="70">
        <v>21</v>
      </c>
      <c r="AO213" s="70">
        <f>H213*1</f>
        <v>0</v>
      </c>
      <c r="AP213" s="70">
        <f>H213*(1-1)</f>
        <v>0</v>
      </c>
      <c r="AQ213" s="71" t="s">
        <v>355</v>
      </c>
      <c r="AV213" s="70">
        <f>AW213+AX213</f>
        <v>0</v>
      </c>
      <c r="AW213" s="70">
        <f>G213*AO213</f>
        <v>0</v>
      </c>
      <c r="AX213" s="70">
        <f>G213*AP213</f>
        <v>0</v>
      </c>
      <c r="AY213" s="71" t="s">
        <v>356</v>
      </c>
      <c r="AZ213" s="71" t="s">
        <v>487</v>
      </c>
      <c r="BA213" s="67" t="s">
        <v>439</v>
      </c>
      <c r="BC213" s="70">
        <f>AW213+AX213</f>
        <v>0</v>
      </c>
      <c r="BD213" s="70">
        <f>H213/(100-BE213)*100</f>
        <v>0</v>
      </c>
      <c r="BE213" s="70">
        <v>0</v>
      </c>
      <c r="BF213" s="70">
        <f>213</f>
        <v>213</v>
      </c>
      <c r="BH213" s="70">
        <f>G213*AO213</f>
        <v>0</v>
      </c>
      <c r="BI213" s="70">
        <f>G213*AP213</f>
        <v>0</v>
      </c>
      <c r="BJ213" s="70">
        <f>G213*H213</f>
        <v>0</v>
      </c>
    </row>
    <row r="214" spans="1:62" ht="15">
      <c r="A214" s="69" t="s">
        <v>488</v>
      </c>
      <c r="B214" s="69" t="s">
        <v>489</v>
      </c>
      <c r="C214" s="696" t="s">
        <v>490</v>
      </c>
      <c r="D214" s="693"/>
      <c r="E214" s="693"/>
      <c r="F214" s="69" t="s">
        <v>209</v>
      </c>
      <c r="G214" s="70">
        <v>147.5</v>
      </c>
      <c r="H214" s="580">
        <v>0</v>
      </c>
      <c r="I214" s="70">
        <f>G214*AO214</f>
        <v>0</v>
      </c>
      <c r="J214" s="70">
        <f>G214*AP214</f>
        <v>0</v>
      </c>
      <c r="K214" s="70">
        <f>G214*H214</f>
        <v>0</v>
      </c>
      <c r="L214" s="71"/>
      <c r="Z214" s="70">
        <f>IF(AQ214="5",BJ214,0)</f>
        <v>0</v>
      </c>
      <c r="AB214" s="70">
        <f>IF(AQ214="1",BH214,0)</f>
        <v>0</v>
      </c>
      <c r="AC214" s="70">
        <f>IF(AQ214="1",BI214,0)</f>
        <v>0</v>
      </c>
      <c r="AD214" s="70">
        <f>IF(AQ214="7",BH214,0)</f>
        <v>0</v>
      </c>
      <c r="AE214" s="70">
        <f>IF(AQ214="7",BI214,0)</f>
        <v>0</v>
      </c>
      <c r="AF214" s="70">
        <f>IF(AQ214="2",BH214,0)</f>
        <v>0</v>
      </c>
      <c r="AG214" s="70">
        <f>IF(AQ214="2",BI214,0)</f>
        <v>0</v>
      </c>
      <c r="AH214" s="70">
        <f>IF(AQ214="0",BJ214,0)</f>
        <v>0</v>
      </c>
      <c r="AI214" s="67" t="s">
        <v>177</v>
      </c>
      <c r="AJ214" s="70">
        <f>IF(AN214=0,K214,0)</f>
        <v>0</v>
      </c>
      <c r="AK214" s="70">
        <f>IF(AN214=15,K214,0)</f>
        <v>0</v>
      </c>
      <c r="AL214" s="70">
        <f>IF(AN214=21,K214,0)</f>
        <v>0</v>
      </c>
      <c r="AN214" s="70">
        <v>21</v>
      </c>
      <c r="AO214" s="70">
        <f>H214*1</f>
        <v>0</v>
      </c>
      <c r="AP214" s="70">
        <f>H214*(1-1)</f>
        <v>0</v>
      </c>
      <c r="AQ214" s="71" t="s">
        <v>355</v>
      </c>
      <c r="AV214" s="70">
        <f>AW214+AX214</f>
        <v>0</v>
      </c>
      <c r="AW214" s="70">
        <f>G214*AO214</f>
        <v>0</v>
      </c>
      <c r="AX214" s="70">
        <f>G214*AP214</f>
        <v>0</v>
      </c>
      <c r="AY214" s="71" t="s">
        <v>356</v>
      </c>
      <c r="AZ214" s="71" t="s">
        <v>487</v>
      </c>
      <c r="BA214" s="67" t="s">
        <v>439</v>
      </c>
      <c r="BC214" s="70">
        <f>AW214+AX214</f>
        <v>0</v>
      </c>
      <c r="BD214" s="70">
        <f>H214/(100-BE214)*100</f>
        <v>0</v>
      </c>
      <c r="BE214" s="70">
        <v>0</v>
      </c>
      <c r="BF214" s="70">
        <f>214</f>
        <v>214</v>
      </c>
      <c r="BH214" s="70">
        <f>G214*AO214</f>
        <v>0</v>
      </c>
      <c r="BI214" s="70">
        <f>G214*AP214</f>
        <v>0</v>
      </c>
      <c r="BJ214" s="70">
        <f>G214*H214</f>
        <v>0</v>
      </c>
    </row>
    <row r="215" spans="2:12" ht="25.35" customHeight="1">
      <c r="B215" s="75" t="s">
        <v>67</v>
      </c>
      <c r="C215" s="725" t="s">
        <v>491</v>
      </c>
      <c r="D215" s="726"/>
      <c r="E215" s="726"/>
      <c r="F215" s="726"/>
      <c r="G215" s="726"/>
      <c r="H215" s="726"/>
      <c r="I215" s="726"/>
      <c r="J215" s="726"/>
      <c r="K215" s="726"/>
      <c r="L215" s="726"/>
    </row>
    <row r="216" spans="1:12" ht="15">
      <c r="A216" s="48"/>
      <c r="B216" s="49"/>
      <c r="C216" s="727" t="s">
        <v>492</v>
      </c>
      <c r="D216" s="728"/>
      <c r="E216" s="728"/>
      <c r="F216" s="48" t="s">
        <v>70</v>
      </c>
      <c r="G216" s="48" t="s">
        <v>70</v>
      </c>
      <c r="H216" s="48" t="s">
        <v>70</v>
      </c>
      <c r="I216" s="50">
        <f>I217+I222+I225+I231+I233</f>
        <v>0</v>
      </c>
      <c r="J216" s="50">
        <f>J217+J222+J225+J231+J233</f>
        <v>0</v>
      </c>
      <c r="K216" s="50">
        <f>K217+K222+K225+K231+K233</f>
        <v>0</v>
      </c>
      <c r="L216" s="51"/>
    </row>
    <row r="217" spans="1:47" ht="15">
      <c r="A217" s="88"/>
      <c r="B217" s="89" t="s">
        <v>169</v>
      </c>
      <c r="C217" s="710" t="s">
        <v>278</v>
      </c>
      <c r="D217" s="711"/>
      <c r="E217" s="711"/>
      <c r="F217" s="88" t="s">
        <v>70</v>
      </c>
      <c r="G217" s="88" t="s">
        <v>70</v>
      </c>
      <c r="H217" s="88" t="s">
        <v>70</v>
      </c>
      <c r="I217" s="90">
        <f>SUM(I218:I221)</f>
        <v>0</v>
      </c>
      <c r="J217" s="90">
        <f>SUM(J218:J221)</f>
        <v>0</v>
      </c>
      <c r="K217" s="90">
        <f>SUM(K218:K221)</f>
        <v>0</v>
      </c>
      <c r="L217" s="91"/>
      <c r="AI217" s="67" t="s">
        <v>180</v>
      </c>
      <c r="AS217" s="68">
        <f>SUM(AJ218:AJ221)</f>
        <v>0</v>
      </c>
      <c r="AT217" s="68">
        <f>SUM(AK218:AK221)</f>
        <v>0</v>
      </c>
      <c r="AU217" s="68">
        <f>SUM(AL218:AL221)</f>
        <v>0</v>
      </c>
    </row>
    <row r="218" spans="1:62" ht="15">
      <c r="A218" s="69" t="s">
        <v>493</v>
      </c>
      <c r="B218" s="69" t="s">
        <v>280</v>
      </c>
      <c r="C218" s="696" t="s">
        <v>494</v>
      </c>
      <c r="D218" s="693"/>
      <c r="E218" s="693"/>
      <c r="F218" s="69" t="s">
        <v>253</v>
      </c>
      <c r="G218" s="70">
        <v>0.6</v>
      </c>
      <c r="H218" s="580">
        <v>0</v>
      </c>
      <c r="I218" s="70">
        <f>G218*AO218</f>
        <v>0</v>
      </c>
      <c r="J218" s="70">
        <f>G218*AP218</f>
        <v>0</v>
      </c>
      <c r="K218" s="70">
        <f>G218*H218</f>
        <v>0</v>
      </c>
      <c r="L218" s="71" t="s">
        <v>282</v>
      </c>
      <c r="Z218" s="70">
        <f>IF(AQ218="5",BJ218,0)</f>
        <v>0</v>
      </c>
      <c r="AB218" s="70">
        <f>IF(AQ218="1",BH218,0)</f>
        <v>0</v>
      </c>
      <c r="AC218" s="70">
        <f>IF(AQ218="1",BI218,0)</f>
        <v>0</v>
      </c>
      <c r="AD218" s="70">
        <f>IF(AQ218="7",BH218,0)</f>
        <v>0</v>
      </c>
      <c r="AE218" s="70">
        <f>IF(AQ218="7",BI218,0)</f>
        <v>0</v>
      </c>
      <c r="AF218" s="70">
        <f>IF(AQ218="2",BH218,0)</f>
        <v>0</v>
      </c>
      <c r="AG218" s="70">
        <f>IF(AQ218="2",BI218,0)</f>
        <v>0</v>
      </c>
      <c r="AH218" s="70">
        <f>IF(AQ218="0",BJ218,0)</f>
        <v>0</v>
      </c>
      <c r="AI218" s="67" t="s">
        <v>180</v>
      </c>
      <c r="AJ218" s="70">
        <f>IF(AN218=0,K218,0)</f>
        <v>0</v>
      </c>
      <c r="AK218" s="70">
        <f>IF(AN218=15,K218,0)</f>
        <v>0</v>
      </c>
      <c r="AL218" s="70">
        <f>IF(AN218=21,K218,0)</f>
        <v>0</v>
      </c>
      <c r="AN218" s="70">
        <v>21</v>
      </c>
      <c r="AO218" s="70">
        <f>H218*0</f>
        <v>0</v>
      </c>
      <c r="AP218" s="70">
        <f>H218*(1-0)</f>
        <v>0</v>
      </c>
      <c r="AQ218" s="71" t="s">
        <v>106</v>
      </c>
      <c r="AV218" s="70">
        <f>AW218+AX218</f>
        <v>0</v>
      </c>
      <c r="AW218" s="70">
        <f>G218*AO218</f>
        <v>0</v>
      </c>
      <c r="AX218" s="70">
        <f>G218*AP218</f>
        <v>0</v>
      </c>
      <c r="AY218" s="71" t="s">
        <v>283</v>
      </c>
      <c r="AZ218" s="71" t="s">
        <v>495</v>
      </c>
      <c r="BA218" s="67" t="s">
        <v>496</v>
      </c>
      <c r="BC218" s="70">
        <f>AW218+AX218</f>
        <v>0</v>
      </c>
      <c r="BD218" s="70">
        <f>H218/(100-BE218)*100</f>
        <v>0</v>
      </c>
      <c r="BE218" s="70">
        <v>0</v>
      </c>
      <c r="BF218" s="70">
        <f>218</f>
        <v>218</v>
      </c>
      <c r="BH218" s="70">
        <f>G218*AO218</f>
        <v>0</v>
      </c>
      <c r="BI218" s="70">
        <f>G218*AP218</f>
        <v>0</v>
      </c>
      <c r="BJ218" s="70">
        <f>G218*H218</f>
        <v>0</v>
      </c>
    </row>
    <row r="219" spans="1:62" ht="15">
      <c r="A219" s="69" t="s">
        <v>497</v>
      </c>
      <c r="B219" s="69" t="s">
        <v>318</v>
      </c>
      <c r="C219" s="696" t="s">
        <v>319</v>
      </c>
      <c r="D219" s="693"/>
      <c r="E219" s="693"/>
      <c r="F219" s="69" t="s">
        <v>109</v>
      </c>
      <c r="G219" s="70">
        <v>0.9</v>
      </c>
      <c r="H219" s="580">
        <v>0</v>
      </c>
      <c r="I219" s="70">
        <f>G219*AO219</f>
        <v>0</v>
      </c>
      <c r="J219" s="70">
        <f>G219*AP219</f>
        <v>0</v>
      </c>
      <c r="K219" s="70">
        <f>G219*H219</f>
        <v>0</v>
      </c>
      <c r="L219" s="71" t="s">
        <v>282</v>
      </c>
      <c r="Z219" s="70">
        <f>IF(AQ219="5",BJ219,0)</f>
        <v>0</v>
      </c>
      <c r="AB219" s="70">
        <f>IF(AQ219="1",BH219,0)</f>
        <v>0</v>
      </c>
      <c r="AC219" s="70">
        <f>IF(AQ219="1",BI219,0)</f>
        <v>0</v>
      </c>
      <c r="AD219" s="70">
        <f>IF(AQ219="7",BH219,0)</f>
        <v>0</v>
      </c>
      <c r="AE219" s="70">
        <f>IF(AQ219="7",BI219,0)</f>
        <v>0</v>
      </c>
      <c r="AF219" s="70">
        <f>IF(AQ219="2",BH219,0)</f>
        <v>0</v>
      </c>
      <c r="AG219" s="70">
        <f>IF(AQ219="2",BI219,0)</f>
        <v>0</v>
      </c>
      <c r="AH219" s="70">
        <f>IF(AQ219="0",BJ219,0)</f>
        <v>0</v>
      </c>
      <c r="AI219" s="67" t="s">
        <v>180</v>
      </c>
      <c r="AJ219" s="70">
        <f>IF(AN219=0,K219,0)</f>
        <v>0</v>
      </c>
      <c r="AK219" s="70">
        <f>IF(AN219=15,K219,0)</f>
        <v>0</v>
      </c>
      <c r="AL219" s="70">
        <f>IF(AN219=21,K219,0)</f>
        <v>0</v>
      </c>
      <c r="AN219" s="70">
        <v>21</v>
      </c>
      <c r="AO219" s="70">
        <f>H219*0</f>
        <v>0</v>
      </c>
      <c r="AP219" s="70">
        <f>H219*(1-0)</f>
        <v>0</v>
      </c>
      <c r="AQ219" s="71" t="s">
        <v>106</v>
      </c>
      <c r="AV219" s="70">
        <f>AW219+AX219</f>
        <v>0</v>
      </c>
      <c r="AW219" s="70">
        <f>G219*AO219</f>
        <v>0</v>
      </c>
      <c r="AX219" s="70">
        <f>G219*AP219</f>
        <v>0</v>
      </c>
      <c r="AY219" s="71" t="s">
        <v>283</v>
      </c>
      <c r="AZ219" s="71" t="s">
        <v>495</v>
      </c>
      <c r="BA219" s="67" t="s">
        <v>496</v>
      </c>
      <c r="BC219" s="70">
        <f>AW219+AX219</f>
        <v>0</v>
      </c>
      <c r="BD219" s="70">
        <f>H219/(100-BE219)*100</f>
        <v>0</v>
      </c>
      <c r="BE219" s="70">
        <v>0</v>
      </c>
      <c r="BF219" s="70">
        <f>219</f>
        <v>219</v>
      </c>
      <c r="BH219" s="70">
        <f>G219*AO219</f>
        <v>0</v>
      </c>
      <c r="BI219" s="70">
        <f>G219*AP219</f>
        <v>0</v>
      </c>
      <c r="BJ219" s="70">
        <f>G219*H219</f>
        <v>0</v>
      </c>
    </row>
    <row r="220" spans="1:62" ht="15">
      <c r="A220" s="69" t="s">
        <v>498</v>
      </c>
      <c r="B220" s="69" t="s">
        <v>322</v>
      </c>
      <c r="C220" s="696" t="s">
        <v>499</v>
      </c>
      <c r="D220" s="693"/>
      <c r="E220" s="693"/>
      <c r="F220" s="69" t="s">
        <v>253</v>
      </c>
      <c r="G220" s="70">
        <v>0.7</v>
      </c>
      <c r="H220" s="580">
        <v>0</v>
      </c>
      <c r="I220" s="70">
        <f>G220*AO220</f>
        <v>0</v>
      </c>
      <c r="J220" s="70">
        <f>G220*AP220</f>
        <v>0</v>
      </c>
      <c r="K220" s="70">
        <f>G220*H220</f>
        <v>0</v>
      </c>
      <c r="L220" s="71" t="s">
        <v>120</v>
      </c>
      <c r="Z220" s="70">
        <f>IF(AQ220="5",BJ220,0)</f>
        <v>0</v>
      </c>
      <c r="AB220" s="70">
        <f>IF(AQ220="1",BH220,0)</f>
        <v>0</v>
      </c>
      <c r="AC220" s="70">
        <f>IF(AQ220="1",BI220,0)</f>
        <v>0</v>
      </c>
      <c r="AD220" s="70">
        <f>IF(AQ220="7",BH220,0)</f>
        <v>0</v>
      </c>
      <c r="AE220" s="70">
        <f>IF(AQ220="7",BI220,0)</f>
        <v>0</v>
      </c>
      <c r="AF220" s="70">
        <f>IF(AQ220="2",BH220,0)</f>
        <v>0</v>
      </c>
      <c r="AG220" s="70">
        <f>IF(AQ220="2",BI220,0)</f>
        <v>0</v>
      </c>
      <c r="AH220" s="70">
        <f>IF(AQ220="0",BJ220,0)</f>
        <v>0</v>
      </c>
      <c r="AI220" s="67" t="s">
        <v>180</v>
      </c>
      <c r="AJ220" s="70">
        <f>IF(AN220=0,K220,0)</f>
        <v>0</v>
      </c>
      <c r="AK220" s="70">
        <f>IF(AN220=15,K220,0)</f>
        <v>0</v>
      </c>
      <c r="AL220" s="70">
        <f>IF(AN220=21,K220,0)</f>
        <v>0</v>
      </c>
      <c r="AN220" s="70">
        <v>21</v>
      </c>
      <c r="AO220" s="70">
        <f>H220*0</f>
        <v>0</v>
      </c>
      <c r="AP220" s="70">
        <f>H220*(1-0)</f>
        <v>0</v>
      </c>
      <c r="AQ220" s="71" t="s">
        <v>106</v>
      </c>
      <c r="AV220" s="70">
        <f>AW220+AX220</f>
        <v>0</v>
      </c>
      <c r="AW220" s="70">
        <f>G220*AO220</f>
        <v>0</v>
      </c>
      <c r="AX220" s="70">
        <f>G220*AP220</f>
        <v>0</v>
      </c>
      <c r="AY220" s="71" t="s">
        <v>283</v>
      </c>
      <c r="AZ220" s="71" t="s">
        <v>495</v>
      </c>
      <c r="BA220" s="67" t="s">
        <v>496</v>
      </c>
      <c r="BC220" s="70">
        <f>AW220+AX220</f>
        <v>0</v>
      </c>
      <c r="BD220" s="70">
        <f>H220/(100-BE220)*100</f>
        <v>0</v>
      </c>
      <c r="BE220" s="70">
        <v>0</v>
      </c>
      <c r="BF220" s="70">
        <f>220</f>
        <v>220</v>
      </c>
      <c r="BH220" s="70">
        <f>G220*AO220</f>
        <v>0</v>
      </c>
      <c r="BI220" s="70">
        <f>G220*AP220</f>
        <v>0</v>
      </c>
      <c r="BJ220" s="70">
        <f>G220*H220</f>
        <v>0</v>
      </c>
    </row>
    <row r="221" spans="1:62" ht="15">
      <c r="A221" s="69" t="s">
        <v>500</v>
      </c>
      <c r="B221" s="69" t="s">
        <v>325</v>
      </c>
      <c r="C221" s="696" t="s">
        <v>326</v>
      </c>
      <c r="D221" s="693"/>
      <c r="E221" s="693"/>
      <c r="F221" s="69" t="s">
        <v>253</v>
      </c>
      <c r="G221" s="70">
        <v>0.7</v>
      </c>
      <c r="H221" s="580">
        <v>0</v>
      </c>
      <c r="I221" s="70">
        <f>G221*AO221</f>
        <v>0</v>
      </c>
      <c r="J221" s="70">
        <f>G221*AP221</f>
        <v>0</v>
      </c>
      <c r="K221" s="70">
        <f>G221*H221</f>
        <v>0</v>
      </c>
      <c r="L221" s="71" t="s">
        <v>282</v>
      </c>
      <c r="Z221" s="70">
        <f>IF(AQ221="5",BJ221,0)</f>
        <v>0</v>
      </c>
      <c r="AB221" s="70">
        <f>IF(AQ221="1",BH221,0)</f>
        <v>0</v>
      </c>
      <c r="AC221" s="70">
        <f>IF(AQ221="1",BI221,0)</f>
        <v>0</v>
      </c>
      <c r="AD221" s="70">
        <f>IF(AQ221="7",BH221,0)</f>
        <v>0</v>
      </c>
      <c r="AE221" s="70">
        <f>IF(AQ221="7",BI221,0)</f>
        <v>0</v>
      </c>
      <c r="AF221" s="70">
        <f>IF(AQ221="2",BH221,0)</f>
        <v>0</v>
      </c>
      <c r="AG221" s="70">
        <f>IF(AQ221="2",BI221,0)</f>
        <v>0</v>
      </c>
      <c r="AH221" s="70">
        <f>IF(AQ221="0",BJ221,0)</f>
        <v>0</v>
      </c>
      <c r="AI221" s="67" t="s">
        <v>180</v>
      </c>
      <c r="AJ221" s="70">
        <f>IF(AN221=0,K221,0)</f>
        <v>0</v>
      </c>
      <c r="AK221" s="70">
        <f>IF(AN221=15,K221,0)</f>
        <v>0</v>
      </c>
      <c r="AL221" s="70">
        <f>IF(AN221=21,K221,0)</f>
        <v>0</v>
      </c>
      <c r="AN221" s="70">
        <v>21</v>
      </c>
      <c r="AO221" s="70">
        <f>H221*0</f>
        <v>0</v>
      </c>
      <c r="AP221" s="70">
        <f>H221*(1-0)</f>
        <v>0</v>
      </c>
      <c r="AQ221" s="71" t="s">
        <v>106</v>
      </c>
      <c r="AV221" s="70">
        <f>AW221+AX221</f>
        <v>0</v>
      </c>
      <c r="AW221" s="70">
        <f>G221*AO221</f>
        <v>0</v>
      </c>
      <c r="AX221" s="70">
        <f>G221*AP221</f>
        <v>0</v>
      </c>
      <c r="AY221" s="71" t="s">
        <v>283</v>
      </c>
      <c r="AZ221" s="71" t="s">
        <v>495</v>
      </c>
      <c r="BA221" s="67" t="s">
        <v>496</v>
      </c>
      <c r="BC221" s="70">
        <f>AW221+AX221</f>
        <v>0</v>
      </c>
      <c r="BD221" s="70">
        <f>H221/(100-BE221)*100</f>
        <v>0</v>
      </c>
      <c r="BE221" s="70">
        <v>0</v>
      </c>
      <c r="BF221" s="70">
        <f>221</f>
        <v>221</v>
      </c>
      <c r="BH221" s="70">
        <f>G221*AO221</f>
        <v>0</v>
      </c>
      <c r="BI221" s="70">
        <f>G221*AP221</f>
        <v>0</v>
      </c>
      <c r="BJ221" s="70">
        <f>G221*H221</f>
        <v>0</v>
      </c>
    </row>
    <row r="222" spans="1:47" ht="15">
      <c r="A222" s="88"/>
      <c r="B222" s="89" t="s">
        <v>226</v>
      </c>
      <c r="C222" s="710" t="s">
        <v>469</v>
      </c>
      <c r="D222" s="711"/>
      <c r="E222" s="711"/>
      <c r="F222" s="88" t="s">
        <v>70</v>
      </c>
      <c r="G222" s="88" t="s">
        <v>70</v>
      </c>
      <c r="H222" s="88" t="s">
        <v>70</v>
      </c>
      <c r="I222" s="90">
        <f>SUM(I223:I223)</f>
        <v>0</v>
      </c>
      <c r="J222" s="90">
        <f>SUM(J223:J223)</f>
        <v>0</v>
      </c>
      <c r="K222" s="90">
        <f>SUM(K223:K223)</f>
        <v>0</v>
      </c>
      <c r="L222" s="91"/>
      <c r="AI222" s="67" t="s">
        <v>180</v>
      </c>
      <c r="AS222" s="68">
        <f>SUM(AJ223:AJ223)</f>
        <v>0</v>
      </c>
      <c r="AT222" s="68">
        <f>SUM(AK223:AK223)</f>
        <v>0</v>
      </c>
      <c r="AU222" s="68">
        <f>SUM(AL223:AL223)</f>
        <v>0</v>
      </c>
    </row>
    <row r="223" spans="1:62" ht="15">
      <c r="A223" s="69" t="s">
        <v>501</v>
      </c>
      <c r="B223" s="69" t="s">
        <v>502</v>
      </c>
      <c r="C223" s="696" t="s">
        <v>472</v>
      </c>
      <c r="D223" s="693"/>
      <c r="E223" s="693"/>
      <c r="F223" s="69" t="s">
        <v>253</v>
      </c>
      <c r="G223" s="70">
        <v>0.3</v>
      </c>
      <c r="H223" s="580">
        <v>0</v>
      </c>
      <c r="I223" s="70">
        <f>G223*AO223</f>
        <v>0</v>
      </c>
      <c r="J223" s="70">
        <f>G223*AP223</f>
        <v>0</v>
      </c>
      <c r="K223" s="70">
        <f>G223*H223</f>
        <v>0</v>
      </c>
      <c r="L223" s="71" t="s">
        <v>120</v>
      </c>
      <c r="Z223" s="70">
        <f>IF(AQ223="5",BJ223,0)</f>
        <v>0</v>
      </c>
      <c r="AB223" s="70">
        <f>IF(AQ223="1",BH223,0)</f>
        <v>0</v>
      </c>
      <c r="AC223" s="70">
        <f>IF(AQ223="1",BI223,0)</f>
        <v>0</v>
      </c>
      <c r="AD223" s="70">
        <f>IF(AQ223="7",BH223,0)</f>
        <v>0</v>
      </c>
      <c r="AE223" s="70">
        <f>IF(AQ223="7",BI223,0)</f>
        <v>0</v>
      </c>
      <c r="AF223" s="70">
        <f>IF(AQ223="2",BH223,0)</f>
        <v>0</v>
      </c>
      <c r="AG223" s="70">
        <f>IF(AQ223="2",BI223,0)</f>
        <v>0</v>
      </c>
      <c r="AH223" s="70">
        <f>IF(AQ223="0",BJ223,0)</f>
        <v>0</v>
      </c>
      <c r="AI223" s="67" t="s">
        <v>180</v>
      </c>
      <c r="AJ223" s="70">
        <f>IF(AN223=0,K223,0)</f>
        <v>0</v>
      </c>
      <c r="AK223" s="70">
        <f>IF(AN223=15,K223,0)</f>
        <v>0</v>
      </c>
      <c r="AL223" s="70">
        <f>IF(AN223=21,K223,0)</f>
        <v>0</v>
      </c>
      <c r="AN223" s="70">
        <v>21</v>
      </c>
      <c r="AO223" s="70">
        <f>H223*0.590960829493087</f>
        <v>0</v>
      </c>
      <c r="AP223" s="70">
        <f>H223*(1-0.590960829493087)</f>
        <v>0</v>
      </c>
      <c r="AQ223" s="71" t="s">
        <v>106</v>
      </c>
      <c r="AV223" s="70">
        <f>AW223+AX223</f>
        <v>0</v>
      </c>
      <c r="AW223" s="70">
        <f>G223*AO223</f>
        <v>0</v>
      </c>
      <c r="AX223" s="70">
        <f>G223*AP223</f>
        <v>0</v>
      </c>
      <c r="AY223" s="71" t="s">
        <v>473</v>
      </c>
      <c r="AZ223" s="71" t="s">
        <v>503</v>
      </c>
      <c r="BA223" s="67" t="s">
        <v>496</v>
      </c>
      <c r="BC223" s="70">
        <f>AW223+AX223</f>
        <v>0</v>
      </c>
      <c r="BD223" s="70">
        <f>H223/(100-BE223)*100</f>
        <v>0</v>
      </c>
      <c r="BE223" s="70">
        <v>0</v>
      </c>
      <c r="BF223" s="70">
        <f>223</f>
        <v>223</v>
      </c>
      <c r="BH223" s="70">
        <f>G223*AO223</f>
        <v>0</v>
      </c>
      <c r="BI223" s="70">
        <f>G223*AP223</f>
        <v>0</v>
      </c>
      <c r="BJ223" s="70">
        <f>G223*H223</f>
        <v>0</v>
      </c>
    </row>
    <row r="224" spans="2:12" ht="64.05" customHeight="1">
      <c r="B224" s="75" t="s">
        <v>67</v>
      </c>
      <c r="C224" s="725" t="s">
        <v>504</v>
      </c>
      <c r="D224" s="726"/>
      <c r="E224" s="726"/>
      <c r="F224" s="726"/>
      <c r="G224" s="726"/>
      <c r="H224" s="726"/>
      <c r="I224" s="726"/>
      <c r="J224" s="726"/>
      <c r="K224" s="726"/>
      <c r="L224" s="726"/>
    </row>
    <row r="225" spans="1:47" ht="15">
      <c r="A225" s="88"/>
      <c r="B225" s="89" t="s">
        <v>221</v>
      </c>
      <c r="C225" s="710" t="s">
        <v>505</v>
      </c>
      <c r="D225" s="711"/>
      <c r="E225" s="711"/>
      <c r="F225" s="88" t="s">
        <v>70</v>
      </c>
      <c r="G225" s="88" t="s">
        <v>70</v>
      </c>
      <c r="H225" s="88" t="s">
        <v>70</v>
      </c>
      <c r="I225" s="90">
        <f>SUM(I226:I230)</f>
        <v>0</v>
      </c>
      <c r="J225" s="90">
        <f>SUM(J226:J230)</f>
        <v>0</v>
      </c>
      <c r="K225" s="90">
        <f>SUM(K226:K230)</f>
        <v>0</v>
      </c>
      <c r="L225" s="91"/>
      <c r="AI225" s="67" t="s">
        <v>180</v>
      </c>
      <c r="AS225" s="68">
        <f>SUM(AJ226:AJ230)</f>
        <v>0</v>
      </c>
      <c r="AT225" s="68">
        <f>SUM(AK226:AK230)</f>
        <v>0</v>
      </c>
      <c r="AU225" s="68">
        <f>SUM(AL226:AL230)</f>
        <v>0</v>
      </c>
    </row>
    <row r="226" spans="1:62" ht="15">
      <c r="A226" s="69" t="s">
        <v>506</v>
      </c>
      <c r="B226" s="69" t="s">
        <v>507</v>
      </c>
      <c r="C226" s="696" t="s">
        <v>508</v>
      </c>
      <c r="D226" s="693"/>
      <c r="E226" s="693"/>
      <c r="F226" s="69" t="s">
        <v>109</v>
      </c>
      <c r="G226" s="70">
        <v>1.6</v>
      </c>
      <c r="H226" s="580">
        <v>0</v>
      </c>
      <c r="I226" s="70">
        <f>G226*AO226</f>
        <v>0</v>
      </c>
      <c r="J226" s="70">
        <f>G226*AP226</f>
        <v>0</v>
      </c>
      <c r="K226" s="70">
        <f>G226*H226</f>
        <v>0</v>
      </c>
      <c r="L226" s="71" t="s">
        <v>120</v>
      </c>
      <c r="Z226" s="70">
        <f>IF(AQ226="5",BJ226,0)</f>
        <v>0</v>
      </c>
      <c r="AB226" s="70">
        <f>IF(AQ226="1",BH226,0)</f>
        <v>0</v>
      </c>
      <c r="AC226" s="70">
        <f>IF(AQ226="1",BI226,0)</f>
        <v>0</v>
      </c>
      <c r="AD226" s="70">
        <f>IF(AQ226="7",BH226,0)</f>
        <v>0</v>
      </c>
      <c r="AE226" s="70">
        <f>IF(AQ226="7",BI226,0)</f>
        <v>0</v>
      </c>
      <c r="AF226" s="70">
        <f>IF(AQ226="2",BH226,0)</f>
        <v>0</v>
      </c>
      <c r="AG226" s="70">
        <f>IF(AQ226="2",BI226,0)</f>
        <v>0</v>
      </c>
      <c r="AH226" s="70">
        <f>IF(AQ226="0",BJ226,0)</f>
        <v>0</v>
      </c>
      <c r="AI226" s="67" t="s">
        <v>180</v>
      </c>
      <c r="AJ226" s="70">
        <f>IF(AN226=0,K226,0)</f>
        <v>0</v>
      </c>
      <c r="AK226" s="70">
        <f>IF(AN226=15,K226,0)</f>
        <v>0</v>
      </c>
      <c r="AL226" s="70">
        <f>IF(AN226=21,K226,0)</f>
        <v>0</v>
      </c>
      <c r="AN226" s="70">
        <v>21</v>
      </c>
      <c r="AO226" s="70">
        <f>H226*0.640244490026294</f>
        <v>0</v>
      </c>
      <c r="AP226" s="70">
        <f>H226*(1-0.640244490026294)</f>
        <v>0</v>
      </c>
      <c r="AQ226" s="71" t="s">
        <v>106</v>
      </c>
      <c r="AV226" s="70">
        <f>AW226+AX226</f>
        <v>0</v>
      </c>
      <c r="AW226" s="70">
        <f>G226*AO226</f>
        <v>0</v>
      </c>
      <c r="AX226" s="70">
        <f>G226*AP226</f>
        <v>0</v>
      </c>
      <c r="AY226" s="71" t="s">
        <v>509</v>
      </c>
      <c r="AZ226" s="71" t="s">
        <v>503</v>
      </c>
      <c r="BA226" s="67" t="s">
        <v>496</v>
      </c>
      <c r="BC226" s="70">
        <f>AW226+AX226</f>
        <v>0</v>
      </c>
      <c r="BD226" s="70">
        <f>H226/(100-BE226)*100</f>
        <v>0</v>
      </c>
      <c r="BE226" s="70">
        <v>0</v>
      </c>
      <c r="BF226" s="70">
        <f>226</f>
        <v>226</v>
      </c>
      <c r="BH226" s="70">
        <f>G226*AO226</f>
        <v>0</v>
      </c>
      <c r="BI226" s="70">
        <f>G226*AP226</f>
        <v>0</v>
      </c>
      <c r="BJ226" s="70">
        <f>G226*H226</f>
        <v>0</v>
      </c>
    </row>
    <row r="227" spans="1:62" ht="15">
      <c r="A227" s="69" t="s">
        <v>510</v>
      </c>
      <c r="B227" s="69" t="s">
        <v>459</v>
      </c>
      <c r="C227" s="696" t="s">
        <v>511</v>
      </c>
      <c r="D227" s="693"/>
      <c r="E227" s="693"/>
      <c r="F227" s="69" t="s">
        <v>109</v>
      </c>
      <c r="G227" s="70">
        <v>1.8</v>
      </c>
      <c r="H227" s="580">
        <v>0</v>
      </c>
      <c r="I227" s="70">
        <f>G227*AO227</f>
        <v>0</v>
      </c>
      <c r="J227" s="70">
        <f>G227*AP227</f>
        <v>0</v>
      </c>
      <c r="K227" s="70">
        <f>G227*H227</f>
        <v>0</v>
      </c>
      <c r="L227" s="71" t="s">
        <v>461</v>
      </c>
      <c r="Z227" s="70">
        <f>IF(AQ227="5",BJ227,0)</f>
        <v>0</v>
      </c>
      <c r="AB227" s="70">
        <f>IF(AQ227="1",BH227,0)</f>
        <v>0</v>
      </c>
      <c r="AC227" s="70">
        <f>IF(AQ227="1",BI227,0)</f>
        <v>0</v>
      </c>
      <c r="AD227" s="70">
        <f>IF(AQ227="7",BH227,0)</f>
        <v>0</v>
      </c>
      <c r="AE227" s="70">
        <f>IF(AQ227="7",BI227,0)</f>
        <v>0</v>
      </c>
      <c r="AF227" s="70">
        <f>IF(AQ227="2",BH227,0)</f>
        <v>0</v>
      </c>
      <c r="AG227" s="70">
        <f>IF(AQ227="2",BI227,0)</f>
        <v>0</v>
      </c>
      <c r="AH227" s="70">
        <f>IF(AQ227="0",BJ227,0)</f>
        <v>0</v>
      </c>
      <c r="AI227" s="67" t="s">
        <v>180</v>
      </c>
      <c r="AJ227" s="70">
        <f>IF(AN227=0,K227,0)</f>
        <v>0</v>
      </c>
      <c r="AK227" s="70">
        <f>IF(AN227=15,K227,0)</f>
        <v>0</v>
      </c>
      <c r="AL227" s="70">
        <f>IF(AN227=21,K227,0)</f>
        <v>0</v>
      </c>
      <c r="AN227" s="70">
        <v>21</v>
      </c>
      <c r="AO227" s="70">
        <f>H227*0.472389937106918</f>
        <v>0</v>
      </c>
      <c r="AP227" s="70">
        <f>H227*(1-0.472389937106918)</f>
        <v>0</v>
      </c>
      <c r="AQ227" s="71" t="s">
        <v>106</v>
      </c>
      <c r="AV227" s="70">
        <f>AW227+AX227</f>
        <v>0</v>
      </c>
      <c r="AW227" s="70">
        <f>G227*AO227</f>
        <v>0</v>
      </c>
      <c r="AX227" s="70">
        <f>G227*AP227</f>
        <v>0</v>
      </c>
      <c r="AY227" s="71" t="s">
        <v>509</v>
      </c>
      <c r="AZ227" s="71" t="s">
        <v>503</v>
      </c>
      <c r="BA227" s="67" t="s">
        <v>496</v>
      </c>
      <c r="BC227" s="70">
        <f>AW227+AX227</f>
        <v>0</v>
      </c>
      <c r="BD227" s="70">
        <f>H227/(100-BE227)*100</f>
        <v>0</v>
      </c>
      <c r="BE227" s="70">
        <v>0</v>
      </c>
      <c r="BF227" s="70">
        <f>227</f>
        <v>227</v>
      </c>
      <c r="BH227" s="70">
        <f>G227*AO227</f>
        <v>0</v>
      </c>
      <c r="BI227" s="70">
        <f>G227*AP227</f>
        <v>0</v>
      </c>
      <c r="BJ227" s="70">
        <f>G227*H227</f>
        <v>0</v>
      </c>
    </row>
    <row r="228" spans="2:12" ht="12.75" customHeight="1">
      <c r="B228" s="75" t="s">
        <v>67</v>
      </c>
      <c r="C228" s="725" t="s">
        <v>512</v>
      </c>
      <c r="D228" s="726"/>
      <c r="E228" s="726"/>
      <c r="F228" s="726"/>
      <c r="G228" s="726"/>
      <c r="H228" s="726"/>
      <c r="I228" s="726"/>
      <c r="J228" s="726"/>
      <c r="K228" s="726"/>
      <c r="L228" s="726"/>
    </row>
    <row r="229" spans="1:62" ht="15">
      <c r="A229" s="69" t="s">
        <v>513</v>
      </c>
      <c r="B229" s="69" t="s">
        <v>464</v>
      </c>
      <c r="C229" s="696" t="s">
        <v>514</v>
      </c>
      <c r="D229" s="693"/>
      <c r="E229" s="693"/>
      <c r="F229" s="69" t="s">
        <v>109</v>
      </c>
      <c r="G229" s="70">
        <v>4.5</v>
      </c>
      <c r="H229" s="580">
        <v>0</v>
      </c>
      <c r="I229" s="70">
        <f>G229*AO229</f>
        <v>0</v>
      </c>
      <c r="J229" s="70">
        <f>G229*AP229</f>
        <v>0</v>
      </c>
      <c r="K229" s="70">
        <f>G229*H229</f>
        <v>0</v>
      </c>
      <c r="L229" s="71" t="s">
        <v>120</v>
      </c>
      <c r="Z229" s="70">
        <f>IF(AQ229="5",BJ229,0)</f>
        <v>0</v>
      </c>
      <c r="AB229" s="70">
        <f>IF(AQ229="1",BH229,0)</f>
        <v>0</v>
      </c>
      <c r="AC229" s="70">
        <f>IF(AQ229="1",BI229,0)</f>
        <v>0</v>
      </c>
      <c r="AD229" s="70">
        <f>IF(AQ229="7",BH229,0)</f>
        <v>0</v>
      </c>
      <c r="AE229" s="70">
        <f>IF(AQ229="7",BI229,0)</f>
        <v>0</v>
      </c>
      <c r="AF229" s="70">
        <f>IF(AQ229="2",BH229,0)</f>
        <v>0</v>
      </c>
      <c r="AG229" s="70">
        <f>IF(AQ229="2",BI229,0)</f>
        <v>0</v>
      </c>
      <c r="AH229" s="70">
        <f>IF(AQ229="0",BJ229,0)</f>
        <v>0</v>
      </c>
      <c r="AI229" s="67" t="s">
        <v>180</v>
      </c>
      <c r="AJ229" s="70">
        <f>IF(AN229=0,K229,0)</f>
        <v>0</v>
      </c>
      <c r="AK229" s="70">
        <f>IF(AN229=15,K229,0)</f>
        <v>0</v>
      </c>
      <c r="AL229" s="70">
        <f>IF(AN229=21,K229,0)</f>
        <v>0</v>
      </c>
      <c r="AN229" s="70">
        <v>21</v>
      </c>
      <c r="AO229" s="70">
        <f>H229*0</f>
        <v>0</v>
      </c>
      <c r="AP229" s="70">
        <f>H229*(1-0)</f>
        <v>0</v>
      </c>
      <c r="AQ229" s="71" t="s">
        <v>106</v>
      </c>
      <c r="AV229" s="70">
        <f>AW229+AX229</f>
        <v>0</v>
      </c>
      <c r="AW229" s="70">
        <f>G229*AO229</f>
        <v>0</v>
      </c>
      <c r="AX229" s="70">
        <f>G229*AP229</f>
        <v>0</v>
      </c>
      <c r="AY229" s="71" t="s">
        <v>509</v>
      </c>
      <c r="AZ229" s="71" t="s">
        <v>503</v>
      </c>
      <c r="BA229" s="67" t="s">
        <v>496</v>
      </c>
      <c r="BC229" s="70">
        <f>AW229+AX229</f>
        <v>0</v>
      </c>
      <c r="BD229" s="70">
        <f>H229/(100-BE229)*100</f>
        <v>0</v>
      </c>
      <c r="BE229" s="70">
        <v>0</v>
      </c>
      <c r="BF229" s="70">
        <f>229</f>
        <v>229</v>
      </c>
      <c r="BH229" s="70">
        <f>G229*AO229</f>
        <v>0</v>
      </c>
      <c r="BI229" s="70">
        <f>G229*AP229</f>
        <v>0</v>
      </c>
      <c r="BJ229" s="70">
        <f>G229*H229</f>
        <v>0</v>
      </c>
    </row>
    <row r="230" spans="1:62" ht="15">
      <c r="A230" s="69" t="s">
        <v>515</v>
      </c>
      <c r="B230" s="69" t="s">
        <v>467</v>
      </c>
      <c r="C230" s="696" t="s">
        <v>516</v>
      </c>
      <c r="D230" s="693"/>
      <c r="E230" s="693"/>
      <c r="F230" s="69" t="s">
        <v>109</v>
      </c>
      <c r="G230" s="70">
        <v>5.2</v>
      </c>
      <c r="H230" s="580">
        <v>0</v>
      </c>
      <c r="I230" s="70">
        <f>G230*AO230</f>
        <v>0</v>
      </c>
      <c r="J230" s="70">
        <f>G230*AP230</f>
        <v>0</v>
      </c>
      <c r="K230" s="70">
        <f>G230*H230</f>
        <v>0</v>
      </c>
      <c r="L230" s="71" t="s">
        <v>120</v>
      </c>
      <c r="Z230" s="70">
        <f>IF(AQ230="5",BJ230,0)</f>
        <v>0</v>
      </c>
      <c r="AB230" s="70">
        <f>IF(AQ230="1",BH230,0)</f>
        <v>0</v>
      </c>
      <c r="AC230" s="70">
        <f>IF(AQ230="1",BI230,0)</f>
        <v>0</v>
      </c>
      <c r="AD230" s="70">
        <f>IF(AQ230="7",BH230,0)</f>
        <v>0</v>
      </c>
      <c r="AE230" s="70">
        <f>IF(AQ230="7",BI230,0)</f>
        <v>0</v>
      </c>
      <c r="AF230" s="70">
        <f>IF(AQ230="2",BH230,0)</f>
        <v>0</v>
      </c>
      <c r="AG230" s="70">
        <f>IF(AQ230="2",BI230,0)</f>
        <v>0</v>
      </c>
      <c r="AH230" s="70">
        <f>IF(AQ230="0",BJ230,0)</f>
        <v>0</v>
      </c>
      <c r="AI230" s="67" t="s">
        <v>180</v>
      </c>
      <c r="AJ230" s="70">
        <f>IF(AN230=0,K230,0)</f>
        <v>0</v>
      </c>
      <c r="AK230" s="70">
        <f>IF(AN230=15,K230,0)</f>
        <v>0</v>
      </c>
      <c r="AL230" s="70">
        <f>IF(AN230=21,K230,0)</f>
        <v>0</v>
      </c>
      <c r="AN230" s="70">
        <v>21</v>
      </c>
      <c r="AO230" s="70">
        <f>H230*0.132064610070773</f>
        <v>0</v>
      </c>
      <c r="AP230" s="70">
        <f>H230*(1-0.132064610070773)</f>
        <v>0</v>
      </c>
      <c r="AQ230" s="71" t="s">
        <v>106</v>
      </c>
      <c r="AV230" s="70">
        <f>AW230+AX230</f>
        <v>0</v>
      </c>
      <c r="AW230" s="70">
        <f>G230*AO230</f>
        <v>0</v>
      </c>
      <c r="AX230" s="70">
        <f>G230*AP230</f>
        <v>0</v>
      </c>
      <c r="AY230" s="71" t="s">
        <v>509</v>
      </c>
      <c r="AZ230" s="71" t="s">
        <v>503</v>
      </c>
      <c r="BA230" s="67" t="s">
        <v>496</v>
      </c>
      <c r="BC230" s="70">
        <f>AW230+AX230</f>
        <v>0</v>
      </c>
      <c r="BD230" s="70">
        <f>H230/(100-BE230)*100</f>
        <v>0</v>
      </c>
      <c r="BE230" s="70">
        <v>0</v>
      </c>
      <c r="BF230" s="70">
        <f>230</f>
        <v>230</v>
      </c>
      <c r="BH230" s="70">
        <f>G230*AO230</f>
        <v>0</v>
      </c>
      <c r="BI230" s="70">
        <f>G230*AP230</f>
        <v>0</v>
      </c>
      <c r="BJ230" s="70">
        <f>G230*H230</f>
        <v>0</v>
      </c>
    </row>
    <row r="231" spans="1:47" ht="15">
      <c r="A231" s="88"/>
      <c r="B231" s="89" t="s">
        <v>476</v>
      </c>
      <c r="C231" s="710" t="s">
        <v>477</v>
      </c>
      <c r="D231" s="711"/>
      <c r="E231" s="711"/>
      <c r="F231" s="88" t="s">
        <v>70</v>
      </c>
      <c r="G231" s="88" t="s">
        <v>70</v>
      </c>
      <c r="H231" s="88" t="s">
        <v>70</v>
      </c>
      <c r="I231" s="90">
        <f>SUM(I232:I232)</f>
        <v>0</v>
      </c>
      <c r="J231" s="90">
        <f>SUM(J232:J232)</f>
        <v>0</v>
      </c>
      <c r="K231" s="90">
        <f>SUM(K232:K232)</f>
        <v>0</v>
      </c>
      <c r="L231" s="91"/>
      <c r="AI231" s="67" t="s">
        <v>180</v>
      </c>
      <c r="AS231" s="68">
        <f>SUM(AJ232:AJ232)</f>
        <v>0</v>
      </c>
      <c r="AT231" s="68">
        <f>SUM(AK232:AK232)</f>
        <v>0</v>
      </c>
      <c r="AU231" s="68">
        <f>SUM(AL232:AL232)</f>
        <v>0</v>
      </c>
    </row>
    <row r="232" spans="1:62" ht="15">
      <c r="A232" s="69" t="s">
        <v>517</v>
      </c>
      <c r="B232" s="69" t="s">
        <v>479</v>
      </c>
      <c r="C232" s="696" t="s">
        <v>480</v>
      </c>
      <c r="D232" s="693"/>
      <c r="E232" s="693"/>
      <c r="F232" s="69" t="s">
        <v>132</v>
      </c>
      <c r="G232" s="70">
        <v>1.6</v>
      </c>
      <c r="H232" s="580">
        <v>0</v>
      </c>
      <c r="I232" s="70">
        <f>G232*AO232</f>
        <v>0</v>
      </c>
      <c r="J232" s="70">
        <f>G232*AP232</f>
        <v>0</v>
      </c>
      <c r="K232" s="70">
        <f>G232*H232</f>
        <v>0</v>
      </c>
      <c r="L232" s="71" t="s">
        <v>481</v>
      </c>
      <c r="Z232" s="70">
        <f>IF(AQ232="5",BJ232,0)</f>
        <v>0</v>
      </c>
      <c r="AB232" s="70">
        <f>IF(AQ232="1",BH232,0)</f>
        <v>0</v>
      </c>
      <c r="AC232" s="70">
        <f>IF(AQ232="1",BI232,0)</f>
        <v>0</v>
      </c>
      <c r="AD232" s="70">
        <f>IF(AQ232="7",BH232,0)</f>
        <v>0</v>
      </c>
      <c r="AE232" s="70">
        <f>IF(AQ232="7",BI232,0)</f>
        <v>0</v>
      </c>
      <c r="AF232" s="70">
        <f>IF(AQ232="2",BH232,0)</f>
        <v>0</v>
      </c>
      <c r="AG232" s="70">
        <f>IF(AQ232="2",BI232,0)</f>
        <v>0</v>
      </c>
      <c r="AH232" s="70">
        <f>IF(AQ232="0",BJ232,0)</f>
        <v>0</v>
      </c>
      <c r="AI232" s="67" t="s">
        <v>180</v>
      </c>
      <c r="AJ232" s="70">
        <f>IF(AN232=0,K232,0)</f>
        <v>0</v>
      </c>
      <c r="AK232" s="70">
        <f>IF(AN232=15,K232,0)</f>
        <v>0</v>
      </c>
      <c r="AL232" s="70">
        <f>IF(AN232=21,K232,0)</f>
        <v>0</v>
      </c>
      <c r="AN232" s="70">
        <v>21</v>
      </c>
      <c r="AO232" s="70">
        <f>H232*0</f>
        <v>0</v>
      </c>
      <c r="AP232" s="70">
        <f>H232*(1-0)</f>
        <v>0</v>
      </c>
      <c r="AQ232" s="71" t="s">
        <v>124</v>
      </c>
      <c r="AV232" s="70">
        <f>AW232+AX232</f>
        <v>0</v>
      </c>
      <c r="AW232" s="70">
        <f>G232*AO232</f>
        <v>0</v>
      </c>
      <c r="AX232" s="70">
        <f>G232*AP232</f>
        <v>0</v>
      </c>
      <c r="AY232" s="71" t="s">
        <v>482</v>
      </c>
      <c r="AZ232" s="71" t="s">
        <v>518</v>
      </c>
      <c r="BA232" s="67" t="s">
        <v>496</v>
      </c>
      <c r="BC232" s="70">
        <f>AW232+AX232</f>
        <v>0</v>
      </c>
      <c r="BD232" s="70">
        <f>H232/(100-BE232)*100</f>
        <v>0</v>
      </c>
      <c r="BE232" s="70">
        <v>0</v>
      </c>
      <c r="BF232" s="70">
        <f>232</f>
        <v>232</v>
      </c>
      <c r="BH232" s="70">
        <f>G232*AO232</f>
        <v>0</v>
      </c>
      <c r="BI232" s="70">
        <f>G232*AP232</f>
        <v>0</v>
      </c>
      <c r="BJ232" s="70">
        <f>G232*H232</f>
        <v>0</v>
      </c>
    </row>
    <row r="233" spans="1:47" ht="15">
      <c r="A233" s="88"/>
      <c r="B233" s="89"/>
      <c r="C233" s="710" t="s">
        <v>52</v>
      </c>
      <c r="D233" s="711"/>
      <c r="E233" s="711"/>
      <c r="F233" s="88" t="s">
        <v>70</v>
      </c>
      <c r="G233" s="88" t="s">
        <v>70</v>
      </c>
      <c r="H233" s="88" t="s">
        <v>70</v>
      </c>
      <c r="I233" s="90">
        <f>SUM(I234:I235)</f>
        <v>0</v>
      </c>
      <c r="J233" s="90">
        <f>SUM(J234:J235)</f>
        <v>0</v>
      </c>
      <c r="K233" s="90">
        <f>SUM(K234:K235)</f>
        <v>0</v>
      </c>
      <c r="L233" s="91"/>
      <c r="AI233" s="67" t="s">
        <v>180</v>
      </c>
      <c r="AS233" s="68">
        <f>SUM(AJ234:AJ235)</f>
        <v>0</v>
      </c>
      <c r="AT233" s="68">
        <f>SUM(AK234:AK235)</f>
        <v>0</v>
      </c>
      <c r="AU233" s="68">
        <f>SUM(AL234:AL235)</f>
        <v>0</v>
      </c>
    </row>
    <row r="234" spans="1:62" ht="15">
      <c r="A234" s="69" t="s">
        <v>519</v>
      </c>
      <c r="B234" s="69" t="s">
        <v>485</v>
      </c>
      <c r="C234" s="696" t="s">
        <v>520</v>
      </c>
      <c r="D234" s="693"/>
      <c r="E234" s="693"/>
      <c r="F234" s="69" t="s">
        <v>407</v>
      </c>
      <c r="G234" s="70">
        <v>1.4</v>
      </c>
      <c r="H234" s="580">
        <v>0</v>
      </c>
      <c r="I234" s="70">
        <f>G234*AO234</f>
        <v>0</v>
      </c>
      <c r="J234" s="70">
        <f>G234*AP234</f>
        <v>0</v>
      </c>
      <c r="K234" s="70">
        <f>G234*H234</f>
        <v>0</v>
      </c>
      <c r="L234" s="71" t="s">
        <v>120</v>
      </c>
      <c r="Z234" s="70">
        <f>IF(AQ234="5",BJ234,0)</f>
        <v>0</v>
      </c>
      <c r="AB234" s="70">
        <f>IF(AQ234="1",BH234,0)</f>
        <v>0</v>
      </c>
      <c r="AC234" s="70">
        <f>IF(AQ234="1",BI234,0)</f>
        <v>0</v>
      </c>
      <c r="AD234" s="70">
        <f>IF(AQ234="7",BH234,0)</f>
        <v>0</v>
      </c>
      <c r="AE234" s="70">
        <f>IF(AQ234="7",BI234,0)</f>
        <v>0</v>
      </c>
      <c r="AF234" s="70">
        <f>IF(AQ234="2",BH234,0)</f>
        <v>0</v>
      </c>
      <c r="AG234" s="70">
        <f>IF(AQ234="2",BI234,0)</f>
        <v>0</v>
      </c>
      <c r="AH234" s="70">
        <f>IF(AQ234="0",BJ234,0)</f>
        <v>0</v>
      </c>
      <c r="AI234" s="67" t="s">
        <v>180</v>
      </c>
      <c r="AJ234" s="70">
        <f>IF(AN234=0,K234,0)</f>
        <v>0</v>
      </c>
      <c r="AK234" s="70">
        <f>IF(AN234=15,K234,0)</f>
        <v>0</v>
      </c>
      <c r="AL234" s="70">
        <f>IF(AN234=21,K234,0)</f>
        <v>0</v>
      </c>
      <c r="AN234" s="70">
        <v>21</v>
      </c>
      <c r="AO234" s="70">
        <f>H234*1</f>
        <v>0</v>
      </c>
      <c r="AP234" s="70">
        <f>H234*(1-1)</f>
        <v>0</v>
      </c>
      <c r="AQ234" s="71" t="s">
        <v>355</v>
      </c>
      <c r="AV234" s="70">
        <f>AW234+AX234</f>
        <v>0</v>
      </c>
      <c r="AW234" s="70">
        <f>G234*AO234</f>
        <v>0</v>
      </c>
      <c r="AX234" s="70">
        <f>G234*AP234</f>
        <v>0</v>
      </c>
      <c r="AY234" s="71" t="s">
        <v>356</v>
      </c>
      <c r="AZ234" s="71" t="s">
        <v>521</v>
      </c>
      <c r="BA234" s="67" t="s">
        <v>496</v>
      </c>
      <c r="BC234" s="70">
        <f>AW234+AX234</f>
        <v>0</v>
      </c>
      <c r="BD234" s="70">
        <f>H234/(100-BE234)*100</f>
        <v>0</v>
      </c>
      <c r="BE234" s="70">
        <v>0</v>
      </c>
      <c r="BF234" s="70">
        <f>234</f>
        <v>234</v>
      </c>
      <c r="BH234" s="70">
        <f>G234*AO234</f>
        <v>0</v>
      </c>
      <c r="BI234" s="70">
        <f>G234*AP234</f>
        <v>0</v>
      </c>
      <c r="BJ234" s="70">
        <f>G234*H234</f>
        <v>0</v>
      </c>
    </row>
    <row r="235" spans="1:62" ht="15">
      <c r="A235" s="69" t="s">
        <v>522</v>
      </c>
      <c r="B235" s="69" t="s">
        <v>489</v>
      </c>
      <c r="C235" s="696" t="s">
        <v>490</v>
      </c>
      <c r="D235" s="693"/>
      <c r="E235" s="693"/>
      <c r="F235" s="69" t="s">
        <v>209</v>
      </c>
      <c r="G235" s="70">
        <v>3.1</v>
      </c>
      <c r="H235" s="580">
        <v>0</v>
      </c>
      <c r="I235" s="70">
        <f>G235*AO235</f>
        <v>0</v>
      </c>
      <c r="J235" s="70">
        <f>G235*AP235</f>
        <v>0</v>
      </c>
      <c r="K235" s="70">
        <f>G235*H235</f>
        <v>0</v>
      </c>
      <c r="L235" s="71"/>
      <c r="Z235" s="70">
        <f>IF(AQ235="5",BJ235,0)</f>
        <v>0</v>
      </c>
      <c r="AB235" s="70">
        <f>IF(AQ235="1",BH235,0)</f>
        <v>0</v>
      </c>
      <c r="AC235" s="70">
        <f>IF(AQ235="1",BI235,0)</f>
        <v>0</v>
      </c>
      <c r="AD235" s="70">
        <f>IF(AQ235="7",BH235,0)</f>
        <v>0</v>
      </c>
      <c r="AE235" s="70">
        <f>IF(AQ235="7",BI235,0)</f>
        <v>0</v>
      </c>
      <c r="AF235" s="70">
        <f>IF(AQ235="2",BH235,0)</f>
        <v>0</v>
      </c>
      <c r="AG235" s="70">
        <f>IF(AQ235="2",BI235,0)</f>
        <v>0</v>
      </c>
      <c r="AH235" s="70">
        <f>IF(AQ235="0",BJ235,0)</f>
        <v>0</v>
      </c>
      <c r="AI235" s="67" t="s">
        <v>180</v>
      </c>
      <c r="AJ235" s="70">
        <f>IF(AN235=0,K235,0)</f>
        <v>0</v>
      </c>
      <c r="AK235" s="70">
        <f>IF(AN235=15,K235,0)</f>
        <v>0</v>
      </c>
      <c r="AL235" s="70">
        <f>IF(AN235=21,K235,0)</f>
        <v>0</v>
      </c>
      <c r="AN235" s="70">
        <v>21</v>
      </c>
      <c r="AO235" s="70">
        <f>H235*1</f>
        <v>0</v>
      </c>
      <c r="AP235" s="70">
        <f>H235*(1-1)</f>
        <v>0</v>
      </c>
      <c r="AQ235" s="71" t="s">
        <v>355</v>
      </c>
      <c r="AV235" s="70">
        <f>AW235+AX235</f>
        <v>0</v>
      </c>
      <c r="AW235" s="70">
        <f>G235*AO235</f>
        <v>0</v>
      </c>
      <c r="AX235" s="70">
        <f>G235*AP235</f>
        <v>0</v>
      </c>
      <c r="AY235" s="71" t="s">
        <v>356</v>
      </c>
      <c r="AZ235" s="71" t="s">
        <v>521</v>
      </c>
      <c r="BA235" s="67" t="s">
        <v>496</v>
      </c>
      <c r="BC235" s="70">
        <f>AW235+AX235</f>
        <v>0</v>
      </c>
      <c r="BD235" s="70">
        <f>H235/(100-BE235)*100</f>
        <v>0</v>
      </c>
      <c r="BE235" s="70">
        <v>0</v>
      </c>
      <c r="BF235" s="70">
        <f>235</f>
        <v>235</v>
      </c>
      <c r="BH235" s="70">
        <f>G235*AO235</f>
        <v>0</v>
      </c>
      <c r="BI235" s="70">
        <f>G235*AP235</f>
        <v>0</v>
      </c>
      <c r="BJ235" s="70">
        <f>G235*H235</f>
        <v>0</v>
      </c>
    </row>
    <row r="236" spans="2:12" ht="25.35" customHeight="1">
      <c r="B236" s="75" t="s">
        <v>67</v>
      </c>
      <c r="C236" s="725" t="s">
        <v>491</v>
      </c>
      <c r="D236" s="726"/>
      <c r="E236" s="726"/>
      <c r="F236" s="726"/>
      <c r="G236" s="726"/>
      <c r="H236" s="726"/>
      <c r="I236" s="726"/>
      <c r="J236" s="726"/>
      <c r="K236" s="726"/>
      <c r="L236" s="726"/>
    </row>
    <row r="237" spans="1:12" ht="15">
      <c r="A237" s="79"/>
      <c r="B237" s="80"/>
      <c r="C237" s="731" t="s">
        <v>523</v>
      </c>
      <c r="D237" s="732"/>
      <c r="E237" s="733"/>
      <c r="F237" s="79" t="s">
        <v>70</v>
      </c>
      <c r="G237" s="79" t="s">
        <v>70</v>
      </c>
      <c r="H237" s="79" t="s">
        <v>70</v>
      </c>
      <c r="I237" s="81">
        <f>I238</f>
        <v>0</v>
      </c>
      <c r="J237" s="81">
        <f>J238</f>
        <v>0</v>
      </c>
      <c r="K237" s="81">
        <f>K238</f>
        <v>0</v>
      </c>
      <c r="L237" s="82"/>
    </row>
    <row r="238" spans="1:47" ht="15">
      <c r="A238" s="88"/>
      <c r="B238" s="89" t="s">
        <v>103</v>
      </c>
      <c r="C238" s="710" t="s">
        <v>104</v>
      </c>
      <c r="D238" s="711"/>
      <c r="E238" s="711"/>
      <c r="F238" s="88" t="s">
        <v>70</v>
      </c>
      <c r="G238" s="88" t="s">
        <v>70</v>
      </c>
      <c r="H238" s="88" t="s">
        <v>70</v>
      </c>
      <c r="I238" s="90">
        <f>SUM(I239:I239)</f>
        <v>0</v>
      </c>
      <c r="J238" s="90">
        <f>SUM(J239:J239)</f>
        <v>0</v>
      </c>
      <c r="K238" s="90">
        <f>SUM(K239:K239)</f>
        <v>0</v>
      </c>
      <c r="L238" s="91"/>
      <c r="AI238" s="67" t="s">
        <v>183</v>
      </c>
      <c r="AS238" s="68">
        <f>SUM(AJ239:AJ239)</f>
        <v>0</v>
      </c>
      <c r="AT238" s="68">
        <f>SUM(AK239:AK239)</f>
        <v>0</v>
      </c>
      <c r="AU238" s="68">
        <f>SUM(AL239:AL239)</f>
        <v>0</v>
      </c>
    </row>
    <row r="239" spans="1:62" ht="15">
      <c r="A239" s="69" t="s">
        <v>524</v>
      </c>
      <c r="B239" s="69" t="s">
        <v>525</v>
      </c>
      <c r="C239" s="696" t="s">
        <v>526</v>
      </c>
      <c r="D239" s="693"/>
      <c r="E239" s="693"/>
      <c r="F239" s="69" t="s">
        <v>312</v>
      </c>
      <c r="G239" s="70">
        <v>1</v>
      </c>
      <c r="H239" s="580">
        <v>0</v>
      </c>
      <c r="I239" s="70">
        <f>G239*AO239</f>
        <v>0</v>
      </c>
      <c r="J239" s="70">
        <f>G239*AP239</f>
        <v>0</v>
      </c>
      <c r="K239" s="70">
        <f>G239*H239</f>
        <v>0</v>
      </c>
      <c r="L239" s="71" t="s">
        <v>120</v>
      </c>
      <c r="Z239" s="70">
        <f>IF(AQ239="5",BJ239,0)</f>
        <v>0</v>
      </c>
      <c r="AB239" s="70">
        <f>IF(AQ239="1",BH239,0)</f>
        <v>0</v>
      </c>
      <c r="AC239" s="70">
        <f>IF(AQ239="1",BI239,0)</f>
        <v>0</v>
      </c>
      <c r="AD239" s="70">
        <f>IF(AQ239="7",BH239,0)</f>
        <v>0</v>
      </c>
      <c r="AE239" s="70">
        <f>IF(AQ239="7",BI239,0)</f>
        <v>0</v>
      </c>
      <c r="AF239" s="70">
        <f>IF(AQ239="2",BH239,0)</f>
        <v>0</v>
      </c>
      <c r="AG239" s="70">
        <f>IF(AQ239="2",BI239,0)</f>
        <v>0</v>
      </c>
      <c r="AH239" s="70">
        <f>IF(AQ239="0",BJ239,0)</f>
        <v>0</v>
      </c>
      <c r="AI239" s="67" t="s">
        <v>183</v>
      </c>
      <c r="AJ239" s="70">
        <f>IF(AN239=0,K239,0)</f>
        <v>0</v>
      </c>
      <c r="AK239" s="70">
        <f>IF(AN239=15,K239,0)</f>
        <v>0</v>
      </c>
      <c r="AL239" s="70">
        <f>IF(AN239=21,K239,0)</f>
        <v>0</v>
      </c>
      <c r="AN239" s="70">
        <v>21</v>
      </c>
      <c r="AO239" s="70">
        <f>H239*0</f>
        <v>0</v>
      </c>
      <c r="AP239" s="70">
        <f>H239*(1-0)</f>
        <v>0</v>
      </c>
      <c r="AQ239" s="71" t="s">
        <v>106</v>
      </c>
      <c r="AV239" s="70">
        <f>AW239+AX239</f>
        <v>0</v>
      </c>
      <c r="AW239" s="70">
        <f>G239*AO239</f>
        <v>0</v>
      </c>
      <c r="AX239" s="70">
        <f>G239*AP239</f>
        <v>0</v>
      </c>
      <c r="AY239" s="71" t="s">
        <v>111</v>
      </c>
      <c r="AZ239" s="71" t="s">
        <v>527</v>
      </c>
      <c r="BA239" s="67" t="s">
        <v>528</v>
      </c>
      <c r="BC239" s="70">
        <f>AW239+AX239</f>
        <v>0</v>
      </c>
      <c r="BD239" s="70">
        <f>H239/(100-BE239)*100</f>
        <v>0</v>
      </c>
      <c r="BE239" s="70">
        <v>0</v>
      </c>
      <c r="BF239" s="70">
        <f>239</f>
        <v>239</v>
      </c>
      <c r="BH239" s="70">
        <f>G239*AO239</f>
        <v>0</v>
      </c>
      <c r="BI239" s="70">
        <f>G239*AP239</f>
        <v>0</v>
      </c>
      <c r="BJ239" s="70">
        <f>G239*H239</f>
        <v>0</v>
      </c>
    </row>
    <row r="240" spans="1:12" ht="15">
      <c r="A240" s="79"/>
      <c r="B240" s="80"/>
      <c r="C240" s="731" t="s">
        <v>529</v>
      </c>
      <c r="D240" s="732"/>
      <c r="E240" s="733"/>
      <c r="F240" s="79" t="s">
        <v>70</v>
      </c>
      <c r="G240" s="79" t="s">
        <v>70</v>
      </c>
      <c r="H240" s="79" t="s">
        <v>70</v>
      </c>
      <c r="I240" s="81">
        <f>I241+I246+I251+I253</f>
        <v>0</v>
      </c>
      <c r="J240" s="81">
        <f>J241+J246+J251+J253</f>
        <v>0</v>
      </c>
      <c r="K240" s="81">
        <f>K241+K246+K251+K253</f>
        <v>0</v>
      </c>
      <c r="L240" s="82"/>
    </row>
    <row r="241" spans="1:47" ht="15">
      <c r="A241" s="88"/>
      <c r="B241" s="89" t="s">
        <v>169</v>
      </c>
      <c r="C241" s="710" t="s">
        <v>278</v>
      </c>
      <c r="D241" s="711"/>
      <c r="E241" s="711"/>
      <c r="F241" s="88" t="s">
        <v>70</v>
      </c>
      <c r="G241" s="88" t="s">
        <v>70</v>
      </c>
      <c r="H241" s="88" t="s">
        <v>70</v>
      </c>
      <c r="I241" s="90">
        <f>SUM(I242:I245)</f>
        <v>0</v>
      </c>
      <c r="J241" s="90">
        <f>SUM(J242:J245)</f>
        <v>0</v>
      </c>
      <c r="K241" s="90">
        <f>SUM(K242:K245)</f>
        <v>0</v>
      </c>
      <c r="L241" s="91"/>
      <c r="AI241" s="67" t="s">
        <v>188</v>
      </c>
      <c r="AS241" s="68">
        <f>SUM(AJ242:AJ245)</f>
        <v>0</v>
      </c>
      <c r="AT241" s="68">
        <f>SUM(AK242:AK245)</f>
        <v>0</v>
      </c>
      <c r="AU241" s="68">
        <f>SUM(AL242:AL245)</f>
        <v>0</v>
      </c>
    </row>
    <row r="242" spans="1:62" ht="15">
      <c r="A242" s="69" t="s">
        <v>530</v>
      </c>
      <c r="B242" s="69" t="s">
        <v>280</v>
      </c>
      <c r="C242" s="696" t="s">
        <v>531</v>
      </c>
      <c r="D242" s="693"/>
      <c r="E242" s="693"/>
      <c r="F242" s="69" t="s">
        <v>253</v>
      </c>
      <c r="G242" s="70">
        <v>30.6</v>
      </c>
      <c r="H242" s="580">
        <v>0</v>
      </c>
      <c r="I242" s="70">
        <f>G242*AO242</f>
        <v>0</v>
      </c>
      <c r="J242" s="70">
        <f>G242*AP242</f>
        <v>0</v>
      </c>
      <c r="K242" s="70">
        <f>G242*H242</f>
        <v>0</v>
      </c>
      <c r="L242" s="71" t="s">
        <v>282</v>
      </c>
      <c r="Z242" s="70">
        <f>IF(AQ242="5",BJ242,0)</f>
        <v>0</v>
      </c>
      <c r="AB242" s="70">
        <f>IF(AQ242="1",BH242,0)</f>
        <v>0</v>
      </c>
      <c r="AC242" s="70">
        <f>IF(AQ242="1",BI242,0)</f>
        <v>0</v>
      </c>
      <c r="AD242" s="70">
        <f>IF(AQ242="7",BH242,0)</f>
        <v>0</v>
      </c>
      <c r="AE242" s="70">
        <f>IF(AQ242="7",BI242,0)</f>
        <v>0</v>
      </c>
      <c r="AF242" s="70">
        <f>IF(AQ242="2",BH242,0)</f>
        <v>0</v>
      </c>
      <c r="AG242" s="70">
        <f>IF(AQ242="2",BI242,0)</f>
        <v>0</v>
      </c>
      <c r="AH242" s="70">
        <f>IF(AQ242="0",BJ242,0)</f>
        <v>0</v>
      </c>
      <c r="AI242" s="67" t="s">
        <v>188</v>
      </c>
      <c r="AJ242" s="70">
        <f>IF(AN242=0,K242,0)</f>
        <v>0</v>
      </c>
      <c r="AK242" s="70">
        <f>IF(AN242=15,K242,0)</f>
        <v>0</v>
      </c>
      <c r="AL242" s="70">
        <f>IF(AN242=21,K242,0)</f>
        <v>0</v>
      </c>
      <c r="AN242" s="70">
        <v>21</v>
      </c>
      <c r="AO242" s="70">
        <f>H242*0</f>
        <v>0</v>
      </c>
      <c r="AP242" s="70">
        <f>H242*(1-0)</f>
        <v>0</v>
      </c>
      <c r="AQ242" s="71" t="s">
        <v>106</v>
      </c>
      <c r="AV242" s="70">
        <f>AW242+AX242</f>
        <v>0</v>
      </c>
      <c r="AW242" s="70">
        <f>G242*AO242</f>
        <v>0</v>
      </c>
      <c r="AX242" s="70">
        <f>G242*AP242</f>
        <v>0</v>
      </c>
      <c r="AY242" s="71" t="s">
        <v>283</v>
      </c>
      <c r="AZ242" s="71" t="s">
        <v>532</v>
      </c>
      <c r="BA242" s="67" t="s">
        <v>533</v>
      </c>
      <c r="BC242" s="70">
        <f>AW242+AX242</f>
        <v>0</v>
      </c>
      <c r="BD242" s="70">
        <f>H242/(100-BE242)*100</f>
        <v>0</v>
      </c>
      <c r="BE242" s="70">
        <v>0</v>
      </c>
      <c r="BF242" s="70">
        <f>242</f>
        <v>242</v>
      </c>
      <c r="BH242" s="70">
        <f>G242*AO242</f>
        <v>0</v>
      </c>
      <c r="BI242" s="70">
        <f>G242*AP242</f>
        <v>0</v>
      </c>
      <c r="BJ242" s="70">
        <f>G242*H242</f>
        <v>0</v>
      </c>
    </row>
    <row r="243" spans="1:62" ht="15">
      <c r="A243" s="69" t="s">
        <v>534</v>
      </c>
      <c r="B243" s="69" t="s">
        <v>318</v>
      </c>
      <c r="C243" s="696" t="s">
        <v>319</v>
      </c>
      <c r="D243" s="693"/>
      <c r="E243" s="693"/>
      <c r="F243" s="69" t="s">
        <v>109</v>
      </c>
      <c r="G243" s="70">
        <v>85</v>
      </c>
      <c r="H243" s="580">
        <v>0</v>
      </c>
      <c r="I243" s="70">
        <f>G243*AO243</f>
        <v>0</v>
      </c>
      <c r="J243" s="70">
        <f>G243*AP243</f>
        <v>0</v>
      </c>
      <c r="K243" s="70">
        <f>G243*H243</f>
        <v>0</v>
      </c>
      <c r="L243" s="71" t="s">
        <v>282</v>
      </c>
      <c r="Z243" s="70">
        <f>IF(AQ243="5",BJ243,0)</f>
        <v>0</v>
      </c>
      <c r="AB243" s="70">
        <f>IF(AQ243="1",BH243,0)</f>
        <v>0</v>
      </c>
      <c r="AC243" s="70">
        <f>IF(AQ243="1",BI243,0)</f>
        <v>0</v>
      </c>
      <c r="AD243" s="70">
        <f>IF(AQ243="7",BH243,0)</f>
        <v>0</v>
      </c>
      <c r="AE243" s="70">
        <f>IF(AQ243="7",BI243,0)</f>
        <v>0</v>
      </c>
      <c r="AF243" s="70">
        <f>IF(AQ243="2",BH243,0)</f>
        <v>0</v>
      </c>
      <c r="AG243" s="70">
        <f>IF(AQ243="2",BI243,0)</f>
        <v>0</v>
      </c>
      <c r="AH243" s="70">
        <f>IF(AQ243="0",BJ243,0)</f>
        <v>0</v>
      </c>
      <c r="AI243" s="67" t="s">
        <v>188</v>
      </c>
      <c r="AJ243" s="70">
        <f>IF(AN243=0,K243,0)</f>
        <v>0</v>
      </c>
      <c r="AK243" s="70">
        <f>IF(AN243=15,K243,0)</f>
        <v>0</v>
      </c>
      <c r="AL243" s="70">
        <f>IF(AN243=21,K243,0)</f>
        <v>0</v>
      </c>
      <c r="AN243" s="70">
        <v>21</v>
      </c>
      <c r="AO243" s="70">
        <f>H243*0</f>
        <v>0</v>
      </c>
      <c r="AP243" s="70">
        <f>H243*(1-0)</f>
        <v>0</v>
      </c>
      <c r="AQ243" s="71" t="s">
        <v>106</v>
      </c>
      <c r="AV243" s="70">
        <f>AW243+AX243</f>
        <v>0</v>
      </c>
      <c r="AW243" s="70">
        <f>G243*AO243</f>
        <v>0</v>
      </c>
      <c r="AX243" s="70">
        <f>G243*AP243</f>
        <v>0</v>
      </c>
      <c r="AY243" s="71" t="s">
        <v>283</v>
      </c>
      <c r="AZ243" s="71" t="s">
        <v>532</v>
      </c>
      <c r="BA243" s="67" t="s">
        <v>533</v>
      </c>
      <c r="BC243" s="70">
        <f>AW243+AX243</f>
        <v>0</v>
      </c>
      <c r="BD243" s="70">
        <f>H243/(100-BE243)*100</f>
        <v>0</v>
      </c>
      <c r="BE243" s="70">
        <v>0</v>
      </c>
      <c r="BF243" s="70">
        <f>243</f>
        <v>243</v>
      </c>
      <c r="BH243" s="70">
        <f>G243*AO243</f>
        <v>0</v>
      </c>
      <c r="BI243" s="70">
        <f>G243*AP243</f>
        <v>0</v>
      </c>
      <c r="BJ243" s="70">
        <f>G243*H243</f>
        <v>0</v>
      </c>
    </row>
    <row r="244" spans="1:62" ht="15">
      <c r="A244" s="69" t="s">
        <v>535</v>
      </c>
      <c r="B244" s="69" t="s">
        <v>322</v>
      </c>
      <c r="C244" s="696" t="s">
        <v>536</v>
      </c>
      <c r="D244" s="693"/>
      <c r="E244" s="693"/>
      <c r="F244" s="69" t="s">
        <v>253</v>
      </c>
      <c r="G244" s="70">
        <v>37.3</v>
      </c>
      <c r="H244" s="580">
        <v>0</v>
      </c>
      <c r="I244" s="70">
        <f>G244*AO244</f>
        <v>0</v>
      </c>
      <c r="J244" s="70">
        <f>G244*AP244</f>
        <v>0</v>
      </c>
      <c r="K244" s="70">
        <f>G244*H244</f>
        <v>0</v>
      </c>
      <c r="L244" s="71" t="s">
        <v>120</v>
      </c>
      <c r="Z244" s="70">
        <f>IF(AQ244="5",BJ244,0)</f>
        <v>0</v>
      </c>
      <c r="AB244" s="70">
        <f>IF(AQ244="1",BH244,0)</f>
        <v>0</v>
      </c>
      <c r="AC244" s="70">
        <f>IF(AQ244="1",BI244,0)</f>
        <v>0</v>
      </c>
      <c r="AD244" s="70">
        <f>IF(AQ244="7",BH244,0)</f>
        <v>0</v>
      </c>
      <c r="AE244" s="70">
        <f>IF(AQ244="7",BI244,0)</f>
        <v>0</v>
      </c>
      <c r="AF244" s="70">
        <f>IF(AQ244="2",BH244,0)</f>
        <v>0</v>
      </c>
      <c r="AG244" s="70">
        <f>IF(AQ244="2",BI244,0)</f>
        <v>0</v>
      </c>
      <c r="AH244" s="70">
        <f>IF(AQ244="0",BJ244,0)</f>
        <v>0</v>
      </c>
      <c r="AI244" s="67" t="s">
        <v>188</v>
      </c>
      <c r="AJ244" s="70">
        <f>IF(AN244=0,K244,0)</f>
        <v>0</v>
      </c>
      <c r="AK244" s="70">
        <f>IF(AN244=15,K244,0)</f>
        <v>0</v>
      </c>
      <c r="AL244" s="70">
        <f>IF(AN244=21,K244,0)</f>
        <v>0</v>
      </c>
      <c r="AN244" s="70">
        <v>21</v>
      </c>
      <c r="AO244" s="70">
        <f>H244*0</f>
        <v>0</v>
      </c>
      <c r="AP244" s="70">
        <f>H244*(1-0)</f>
        <v>0</v>
      </c>
      <c r="AQ244" s="71" t="s">
        <v>106</v>
      </c>
      <c r="AV244" s="70">
        <f>AW244+AX244</f>
        <v>0</v>
      </c>
      <c r="AW244" s="70">
        <f>G244*AO244</f>
        <v>0</v>
      </c>
      <c r="AX244" s="70">
        <f>G244*AP244</f>
        <v>0</v>
      </c>
      <c r="AY244" s="71" t="s">
        <v>283</v>
      </c>
      <c r="AZ244" s="71" t="s">
        <v>532</v>
      </c>
      <c r="BA244" s="67" t="s">
        <v>533</v>
      </c>
      <c r="BC244" s="70">
        <f>AW244+AX244</f>
        <v>0</v>
      </c>
      <c r="BD244" s="70">
        <f>H244/(100-BE244)*100</f>
        <v>0</v>
      </c>
      <c r="BE244" s="70">
        <v>0</v>
      </c>
      <c r="BF244" s="70">
        <f>244</f>
        <v>244</v>
      </c>
      <c r="BH244" s="70">
        <f>G244*AO244</f>
        <v>0</v>
      </c>
      <c r="BI244" s="70">
        <f>G244*AP244</f>
        <v>0</v>
      </c>
      <c r="BJ244" s="70">
        <f>G244*H244</f>
        <v>0</v>
      </c>
    </row>
    <row r="245" spans="1:62" ht="15">
      <c r="A245" s="69" t="s">
        <v>537</v>
      </c>
      <c r="B245" s="69" t="s">
        <v>325</v>
      </c>
      <c r="C245" s="696" t="s">
        <v>326</v>
      </c>
      <c r="D245" s="693"/>
      <c r="E245" s="693"/>
      <c r="F245" s="69" t="s">
        <v>253</v>
      </c>
      <c r="G245" s="70">
        <v>37.3</v>
      </c>
      <c r="H245" s="580">
        <v>0</v>
      </c>
      <c r="I245" s="70">
        <f>G245*AO245</f>
        <v>0</v>
      </c>
      <c r="J245" s="70">
        <f>G245*AP245</f>
        <v>0</v>
      </c>
      <c r="K245" s="70">
        <f>G245*H245</f>
        <v>0</v>
      </c>
      <c r="L245" s="71" t="s">
        <v>282</v>
      </c>
      <c r="Z245" s="70">
        <f>IF(AQ245="5",BJ245,0)</f>
        <v>0</v>
      </c>
      <c r="AB245" s="70">
        <f>IF(AQ245="1",BH245,0)</f>
        <v>0</v>
      </c>
      <c r="AC245" s="70">
        <f>IF(AQ245="1",BI245,0)</f>
        <v>0</v>
      </c>
      <c r="AD245" s="70">
        <f>IF(AQ245="7",BH245,0)</f>
        <v>0</v>
      </c>
      <c r="AE245" s="70">
        <f>IF(AQ245="7",BI245,0)</f>
        <v>0</v>
      </c>
      <c r="AF245" s="70">
        <f>IF(AQ245="2",BH245,0)</f>
        <v>0</v>
      </c>
      <c r="AG245" s="70">
        <f>IF(AQ245="2",BI245,0)</f>
        <v>0</v>
      </c>
      <c r="AH245" s="70">
        <f>IF(AQ245="0",BJ245,0)</f>
        <v>0</v>
      </c>
      <c r="AI245" s="67" t="s">
        <v>188</v>
      </c>
      <c r="AJ245" s="70">
        <f>IF(AN245=0,K245,0)</f>
        <v>0</v>
      </c>
      <c r="AK245" s="70">
        <f>IF(AN245=15,K245,0)</f>
        <v>0</v>
      </c>
      <c r="AL245" s="70">
        <f>IF(AN245=21,K245,0)</f>
        <v>0</v>
      </c>
      <c r="AN245" s="70">
        <v>21</v>
      </c>
      <c r="AO245" s="70">
        <f>H245*0</f>
        <v>0</v>
      </c>
      <c r="AP245" s="70">
        <f>H245*(1-0)</f>
        <v>0</v>
      </c>
      <c r="AQ245" s="71" t="s">
        <v>106</v>
      </c>
      <c r="AV245" s="70">
        <f>AW245+AX245</f>
        <v>0</v>
      </c>
      <c r="AW245" s="70">
        <f>G245*AO245</f>
        <v>0</v>
      </c>
      <c r="AX245" s="70">
        <f>G245*AP245</f>
        <v>0</v>
      </c>
      <c r="AY245" s="71" t="s">
        <v>283</v>
      </c>
      <c r="AZ245" s="71" t="s">
        <v>532</v>
      </c>
      <c r="BA245" s="67" t="s">
        <v>533</v>
      </c>
      <c r="BC245" s="70">
        <f>AW245+AX245</f>
        <v>0</v>
      </c>
      <c r="BD245" s="70">
        <f>H245/(100-BE245)*100</f>
        <v>0</v>
      </c>
      <c r="BE245" s="70">
        <v>0</v>
      </c>
      <c r="BF245" s="70">
        <f>245</f>
        <v>245</v>
      </c>
      <c r="BH245" s="70">
        <f>G245*AO245</f>
        <v>0</v>
      </c>
      <c r="BI245" s="70">
        <f>G245*AP245</f>
        <v>0</v>
      </c>
      <c r="BJ245" s="70">
        <f>G245*H245</f>
        <v>0</v>
      </c>
    </row>
    <row r="246" spans="1:47" ht="15">
      <c r="A246" s="88"/>
      <c r="B246" s="89" t="s">
        <v>314</v>
      </c>
      <c r="C246" s="710" t="s">
        <v>327</v>
      </c>
      <c r="D246" s="711"/>
      <c r="E246" s="711"/>
      <c r="F246" s="88" t="s">
        <v>70</v>
      </c>
      <c r="G246" s="88" t="s">
        <v>70</v>
      </c>
      <c r="H246" s="88" t="s">
        <v>70</v>
      </c>
      <c r="I246" s="90">
        <f>SUM(I247:I249)</f>
        <v>0</v>
      </c>
      <c r="J246" s="90">
        <f>SUM(J247:J249)</f>
        <v>0</v>
      </c>
      <c r="K246" s="90">
        <f>SUM(K247:K249)</f>
        <v>0</v>
      </c>
      <c r="L246" s="91"/>
      <c r="AI246" s="67" t="s">
        <v>188</v>
      </c>
      <c r="AS246" s="68">
        <f>SUM(AJ247:AJ249)</f>
        <v>0</v>
      </c>
      <c r="AT246" s="68">
        <f>SUM(AK247:AK249)</f>
        <v>0</v>
      </c>
      <c r="AU246" s="68">
        <f>SUM(AL247:AL249)</f>
        <v>0</v>
      </c>
    </row>
    <row r="247" spans="1:62" ht="15">
      <c r="A247" s="69" t="s">
        <v>538</v>
      </c>
      <c r="B247" s="69" t="s">
        <v>329</v>
      </c>
      <c r="C247" s="696" t="s">
        <v>330</v>
      </c>
      <c r="D247" s="693"/>
      <c r="E247" s="693"/>
      <c r="F247" s="69" t="s">
        <v>253</v>
      </c>
      <c r="G247" s="70">
        <v>32.2</v>
      </c>
      <c r="H247" s="580">
        <v>0</v>
      </c>
      <c r="I247" s="70">
        <f>G247*AO247</f>
        <v>0</v>
      </c>
      <c r="J247" s="70">
        <f>G247*AP247</f>
        <v>0</v>
      </c>
      <c r="K247" s="70">
        <f>G247*H247</f>
        <v>0</v>
      </c>
      <c r="L247" s="71" t="s">
        <v>282</v>
      </c>
      <c r="Z247" s="70">
        <f>IF(AQ247="5",BJ247,0)</f>
        <v>0</v>
      </c>
      <c r="AB247" s="70">
        <f>IF(AQ247="1",BH247,0)</f>
        <v>0</v>
      </c>
      <c r="AC247" s="70">
        <f>IF(AQ247="1",BI247,0)</f>
        <v>0</v>
      </c>
      <c r="AD247" s="70">
        <f>IF(AQ247="7",BH247,0)</f>
        <v>0</v>
      </c>
      <c r="AE247" s="70">
        <f>IF(AQ247="7",BI247,0)</f>
        <v>0</v>
      </c>
      <c r="AF247" s="70">
        <f>IF(AQ247="2",BH247,0)</f>
        <v>0</v>
      </c>
      <c r="AG247" s="70">
        <f>IF(AQ247="2",BI247,0)</f>
        <v>0</v>
      </c>
      <c r="AH247" s="70">
        <f>IF(AQ247="0",BJ247,0)</f>
        <v>0</v>
      </c>
      <c r="AI247" s="67" t="s">
        <v>188</v>
      </c>
      <c r="AJ247" s="70">
        <f>IF(AN247=0,K247,0)</f>
        <v>0</v>
      </c>
      <c r="AK247" s="70">
        <f>IF(AN247=15,K247,0)</f>
        <v>0</v>
      </c>
      <c r="AL247" s="70">
        <f>IF(AN247=21,K247,0)</f>
        <v>0</v>
      </c>
      <c r="AN247" s="70">
        <v>21</v>
      </c>
      <c r="AO247" s="70">
        <f>H247*0</f>
        <v>0</v>
      </c>
      <c r="AP247" s="70">
        <f>H247*(1-0)</f>
        <v>0</v>
      </c>
      <c r="AQ247" s="71" t="s">
        <v>106</v>
      </c>
      <c r="AV247" s="70">
        <f>AW247+AX247</f>
        <v>0</v>
      </c>
      <c r="AW247" s="70">
        <f>G247*AO247</f>
        <v>0</v>
      </c>
      <c r="AX247" s="70">
        <f>G247*AP247</f>
        <v>0</v>
      </c>
      <c r="AY247" s="71" t="s">
        <v>331</v>
      </c>
      <c r="AZ247" s="71" t="s">
        <v>539</v>
      </c>
      <c r="BA247" s="67" t="s">
        <v>533</v>
      </c>
      <c r="BC247" s="70">
        <f>AW247+AX247</f>
        <v>0</v>
      </c>
      <c r="BD247" s="70">
        <f>H247/(100-BE247)*100</f>
        <v>0</v>
      </c>
      <c r="BE247" s="70">
        <v>0</v>
      </c>
      <c r="BF247" s="70">
        <f>247</f>
        <v>247</v>
      </c>
      <c r="BH247" s="70">
        <f>G247*AO247</f>
        <v>0</v>
      </c>
      <c r="BI247" s="70">
        <f>G247*AP247</f>
        <v>0</v>
      </c>
      <c r="BJ247" s="70">
        <f>G247*H247</f>
        <v>0</v>
      </c>
    </row>
    <row r="248" spans="2:12" ht="25.35" customHeight="1">
      <c r="B248" s="75" t="s">
        <v>67</v>
      </c>
      <c r="C248" s="725" t="s">
        <v>540</v>
      </c>
      <c r="D248" s="726"/>
      <c r="E248" s="726"/>
      <c r="F248" s="726"/>
      <c r="G248" s="726"/>
      <c r="H248" s="726"/>
      <c r="I248" s="726"/>
      <c r="J248" s="726"/>
      <c r="K248" s="726"/>
      <c r="L248" s="726"/>
    </row>
    <row r="249" spans="1:62" ht="15">
      <c r="A249" s="69" t="s">
        <v>541</v>
      </c>
      <c r="B249" s="69" t="s">
        <v>335</v>
      </c>
      <c r="C249" s="696" t="s">
        <v>336</v>
      </c>
      <c r="D249" s="693"/>
      <c r="E249" s="693"/>
      <c r="F249" s="69" t="s">
        <v>337</v>
      </c>
      <c r="G249" s="70">
        <v>720</v>
      </c>
      <c r="H249" s="580">
        <v>0</v>
      </c>
      <c r="I249" s="70">
        <f>G249*AO249</f>
        <v>0</v>
      </c>
      <c r="J249" s="70">
        <f>G249*AP249</f>
        <v>0</v>
      </c>
      <c r="K249" s="70">
        <f>G249*H249</f>
        <v>0</v>
      </c>
      <c r="L249" s="71"/>
      <c r="Z249" s="70">
        <f>IF(AQ249="5",BJ249,0)</f>
        <v>0</v>
      </c>
      <c r="AB249" s="70">
        <f>IF(AQ249="1",BH249,0)</f>
        <v>0</v>
      </c>
      <c r="AC249" s="70">
        <f>IF(AQ249="1",BI249,0)</f>
        <v>0</v>
      </c>
      <c r="AD249" s="70">
        <f>IF(AQ249="7",BH249,0)</f>
        <v>0</v>
      </c>
      <c r="AE249" s="70">
        <f>IF(AQ249="7",BI249,0)</f>
        <v>0</v>
      </c>
      <c r="AF249" s="70">
        <f>IF(AQ249="2",BH249,0)</f>
        <v>0</v>
      </c>
      <c r="AG249" s="70">
        <f>IF(AQ249="2",BI249,0)</f>
        <v>0</v>
      </c>
      <c r="AH249" s="70">
        <f>IF(AQ249="0",BJ249,0)</f>
        <v>0</v>
      </c>
      <c r="AI249" s="67" t="s">
        <v>188</v>
      </c>
      <c r="AJ249" s="70">
        <f>IF(AN249=0,K249,0)</f>
        <v>0</v>
      </c>
      <c r="AK249" s="70">
        <f>IF(AN249=15,K249,0)</f>
        <v>0</v>
      </c>
      <c r="AL249" s="70">
        <f>IF(AN249=21,K249,0)</f>
        <v>0</v>
      </c>
      <c r="AN249" s="70">
        <v>21</v>
      </c>
      <c r="AO249" s="70">
        <f>H249*0</f>
        <v>0</v>
      </c>
      <c r="AP249" s="70">
        <f>H249*(1-0)</f>
        <v>0</v>
      </c>
      <c r="AQ249" s="71" t="s">
        <v>124</v>
      </c>
      <c r="AV249" s="70">
        <f>AW249+AX249</f>
        <v>0</v>
      </c>
      <c r="AW249" s="70">
        <f>G249*AO249</f>
        <v>0</v>
      </c>
      <c r="AX249" s="70">
        <f>G249*AP249</f>
        <v>0</v>
      </c>
      <c r="AY249" s="71" t="s">
        <v>331</v>
      </c>
      <c r="AZ249" s="71" t="s">
        <v>539</v>
      </c>
      <c r="BA249" s="67" t="s">
        <v>533</v>
      </c>
      <c r="BC249" s="70">
        <f>AW249+AX249</f>
        <v>0</v>
      </c>
      <c r="BD249" s="70">
        <f>H249/(100-BE249)*100</f>
        <v>0</v>
      </c>
      <c r="BE249" s="70">
        <v>0</v>
      </c>
      <c r="BF249" s="70">
        <f>249</f>
        <v>249</v>
      </c>
      <c r="BH249" s="70">
        <f>G249*AO249</f>
        <v>0</v>
      </c>
      <c r="BI249" s="70">
        <f>G249*AP249</f>
        <v>0</v>
      </c>
      <c r="BJ249" s="70">
        <f>G249*H249</f>
        <v>0</v>
      </c>
    </row>
    <row r="250" spans="2:12" ht="38.7" customHeight="1">
      <c r="B250" s="75" t="s">
        <v>67</v>
      </c>
      <c r="C250" s="725" t="s">
        <v>542</v>
      </c>
      <c r="D250" s="726"/>
      <c r="E250" s="726"/>
      <c r="F250" s="726"/>
      <c r="G250" s="726"/>
      <c r="H250" s="726"/>
      <c r="I250" s="726"/>
      <c r="J250" s="726"/>
      <c r="K250" s="726"/>
      <c r="L250" s="726"/>
    </row>
    <row r="251" spans="1:47" ht="15">
      <c r="A251" s="88"/>
      <c r="B251" s="89" t="s">
        <v>345</v>
      </c>
      <c r="C251" s="710" t="s">
        <v>346</v>
      </c>
      <c r="D251" s="711"/>
      <c r="E251" s="711"/>
      <c r="F251" s="88" t="s">
        <v>70</v>
      </c>
      <c r="G251" s="88" t="s">
        <v>70</v>
      </c>
      <c r="H251" s="88" t="s">
        <v>70</v>
      </c>
      <c r="I251" s="90">
        <f>SUM(I252:I252)</f>
        <v>0</v>
      </c>
      <c r="J251" s="90">
        <f>SUM(J252:J252)</f>
        <v>0</v>
      </c>
      <c r="K251" s="90">
        <f>SUM(K252:K252)</f>
        <v>0</v>
      </c>
      <c r="L251" s="91"/>
      <c r="AI251" s="67" t="s">
        <v>188</v>
      </c>
      <c r="AS251" s="68">
        <f>SUM(AJ252:AJ252)</f>
        <v>0</v>
      </c>
      <c r="AT251" s="68">
        <f>SUM(AK252:AK252)</f>
        <v>0</v>
      </c>
      <c r="AU251" s="68">
        <f>SUM(AL252:AL252)</f>
        <v>0</v>
      </c>
    </row>
    <row r="252" spans="1:62" ht="15">
      <c r="A252" s="69" t="s">
        <v>543</v>
      </c>
      <c r="B252" s="69" t="s">
        <v>544</v>
      </c>
      <c r="C252" s="696" t="s">
        <v>545</v>
      </c>
      <c r="D252" s="693"/>
      <c r="E252" s="693"/>
      <c r="F252" s="69" t="s">
        <v>132</v>
      </c>
      <c r="G252" s="70">
        <v>55.5</v>
      </c>
      <c r="H252" s="580">
        <v>0</v>
      </c>
      <c r="I252" s="70">
        <f>G252*AO252</f>
        <v>0</v>
      </c>
      <c r="J252" s="70">
        <f>G252*AP252</f>
        <v>0</v>
      </c>
      <c r="K252" s="70">
        <f>G252*H252</f>
        <v>0</v>
      </c>
      <c r="L252" s="71" t="s">
        <v>546</v>
      </c>
      <c r="Z252" s="70">
        <f>IF(AQ252="5",BJ252,0)</f>
        <v>0</v>
      </c>
      <c r="AB252" s="70">
        <f>IF(AQ252="1",BH252,0)</f>
        <v>0</v>
      </c>
      <c r="AC252" s="70">
        <f>IF(AQ252="1",BI252,0)</f>
        <v>0</v>
      </c>
      <c r="AD252" s="70">
        <f>IF(AQ252="7",BH252,0)</f>
        <v>0</v>
      </c>
      <c r="AE252" s="70">
        <f>IF(AQ252="7",BI252,0)</f>
        <v>0</v>
      </c>
      <c r="AF252" s="70">
        <f>IF(AQ252="2",BH252,0)</f>
        <v>0</v>
      </c>
      <c r="AG252" s="70">
        <f>IF(AQ252="2",BI252,0)</f>
        <v>0</v>
      </c>
      <c r="AH252" s="70">
        <f>IF(AQ252="0",BJ252,0)</f>
        <v>0</v>
      </c>
      <c r="AI252" s="67" t="s">
        <v>188</v>
      </c>
      <c r="AJ252" s="70">
        <f>IF(AN252=0,K252,0)</f>
        <v>0</v>
      </c>
      <c r="AK252" s="70">
        <f>IF(AN252=15,K252,0)</f>
        <v>0</v>
      </c>
      <c r="AL252" s="70">
        <f>IF(AN252=21,K252,0)</f>
        <v>0</v>
      </c>
      <c r="AN252" s="70">
        <v>21</v>
      </c>
      <c r="AO252" s="70">
        <f>H252*0</f>
        <v>0</v>
      </c>
      <c r="AP252" s="70">
        <f>H252*(1-0)</f>
        <v>0</v>
      </c>
      <c r="AQ252" s="71" t="s">
        <v>124</v>
      </c>
      <c r="AV252" s="70">
        <f>AW252+AX252</f>
        <v>0</v>
      </c>
      <c r="AW252" s="70">
        <f>G252*AO252</f>
        <v>0</v>
      </c>
      <c r="AX252" s="70">
        <f>G252*AP252</f>
        <v>0</v>
      </c>
      <c r="AY252" s="71" t="s">
        <v>350</v>
      </c>
      <c r="AZ252" s="71" t="s">
        <v>547</v>
      </c>
      <c r="BA252" s="67" t="s">
        <v>533</v>
      </c>
      <c r="BC252" s="70">
        <f>AW252+AX252</f>
        <v>0</v>
      </c>
      <c r="BD252" s="70">
        <f>H252/(100-BE252)*100</f>
        <v>0</v>
      </c>
      <c r="BE252" s="70">
        <v>0</v>
      </c>
      <c r="BF252" s="70">
        <f>252</f>
        <v>252</v>
      </c>
      <c r="BH252" s="70">
        <f>G252*AO252</f>
        <v>0</v>
      </c>
      <c r="BI252" s="70">
        <f>G252*AP252</f>
        <v>0</v>
      </c>
      <c r="BJ252" s="70">
        <f>G252*H252</f>
        <v>0</v>
      </c>
    </row>
    <row r="253" spans="1:47" ht="15">
      <c r="A253" s="88"/>
      <c r="B253" s="89"/>
      <c r="C253" s="710" t="s">
        <v>52</v>
      </c>
      <c r="D253" s="711"/>
      <c r="E253" s="711"/>
      <c r="F253" s="88" t="s">
        <v>70</v>
      </c>
      <c r="G253" s="88" t="s">
        <v>70</v>
      </c>
      <c r="H253" s="88" t="s">
        <v>70</v>
      </c>
      <c r="I253" s="90">
        <f>SUM(I254:I256)</f>
        <v>0</v>
      </c>
      <c r="J253" s="90">
        <f>SUM(J254:J256)</f>
        <v>0</v>
      </c>
      <c r="K253" s="90">
        <f>SUM(K254:K256)</f>
        <v>0</v>
      </c>
      <c r="L253" s="91"/>
      <c r="AI253" s="67" t="s">
        <v>188</v>
      </c>
      <c r="AS253" s="68">
        <f>SUM(AJ254:AJ256)</f>
        <v>0</v>
      </c>
      <c r="AT253" s="68">
        <f>SUM(AK254:AK256)</f>
        <v>0</v>
      </c>
      <c r="AU253" s="68">
        <f>SUM(AL254:AL256)</f>
        <v>0</v>
      </c>
    </row>
    <row r="254" spans="1:62" ht="15">
      <c r="A254" s="69" t="s">
        <v>548</v>
      </c>
      <c r="B254" s="69" t="s">
        <v>360</v>
      </c>
      <c r="C254" s="696" t="s">
        <v>549</v>
      </c>
      <c r="D254" s="693"/>
      <c r="E254" s="693"/>
      <c r="F254" s="69" t="s">
        <v>132</v>
      </c>
      <c r="G254" s="70">
        <v>42.9</v>
      </c>
      <c r="H254" s="580">
        <v>0</v>
      </c>
      <c r="I254" s="70">
        <f>G254*AO254</f>
        <v>0</v>
      </c>
      <c r="J254" s="70">
        <f>G254*AP254</f>
        <v>0</v>
      </c>
      <c r="K254" s="70">
        <f>G254*H254</f>
        <v>0</v>
      </c>
      <c r="L254" s="71" t="s">
        <v>282</v>
      </c>
      <c r="Z254" s="70">
        <f>IF(AQ254="5",BJ254,0)</f>
        <v>0</v>
      </c>
      <c r="AB254" s="70">
        <f>IF(AQ254="1",BH254,0)</f>
        <v>0</v>
      </c>
      <c r="AC254" s="70">
        <f>IF(AQ254="1",BI254,0)</f>
        <v>0</v>
      </c>
      <c r="AD254" s="70">
        <f>IF(AQ254="7",BH254,0)</f>
        <v>0</v>
      </c>
      <c r="AE254" s="70">
        <f>IF(AQ254="7",BI254,0)</f>
        <v>0</v>
      </c>
      <c r="AF254" s="70">
        <f>IF(AQ254="2",BH254,0)</f>
        <v>0</v>
      </c>
      <c r="AG254" s="70">
        <f>IF(AQ254="2",BI254,0)</f>
        <v>0</v>
      </c>
      <c r="AH254" s="70">
        <f>IF(AQ254="0",BJ254,0)</f>
        <v>0</v>
      </c>
      <c r="AI254" s="67" t="s">
        <v>188</v>
      </c>
      <c r="AJ254" s="70">
        <f>IF(AN254=0,K254,0)</f>
        <v>0</v>
      </c>
      <c r="AK254" s="70">
        <f>IF(AN254=15,K254,0)</f>
        <v>0</v>
      </c>
      <c r="AL254" s="70">
        <f>IF(AN254=21,K254,0)</f>
        <v>0</v>
      </c>
      <c r="AN254" s="70">
        <v>21</v>
      </c>
      <c r="AO254" s="70">
        <f>H254*1</f>
        <v>0</v>
      </c>
      <c r="AP254" s="70">
        <f>H254*(1-1)</f>
        <v>0</v>
      </c>
      <c r="AQ254" s="71" t="s">
        <v>355</v>
      </c>
      <c r="AV254" s="70">
        <f>AW254+AX254</f>
        <v>0</v>
      </c>
      <c r="AW254" s="70">
        <f>G254*AO254</f>
        <v>0</v>
      </c>
      <c r="AX254" s="70">
        <f>G254*AP254</f>
        <v>0</v>
      </c>
      <c r="AY254" s="71" t="s">
        <v>356</v>
      </c>
      <c r="AZ254" s="71" t="s">
        <v>550</v>
      </c>
      <c r="BA254" s="67" t="s">
        <v>533</v>
      </c>
      <c r="BC254" s="70">
        <f>AW254+AX254</f>
        <v>0</v>
      </c>
      <c r="BD254" s="70">
        <f>H254/(100-BE254)*100</f>
        <v>0</v>
      </c>
      <c r="BE254" s="70">
        <v>0</v>
      </c>
      <c r="BF254" s="70">
        <f>254</f>
        <v>254</v>
      </c>
      <c r="BH254" s="70">
        <f>G254*AO254</f>
        <v>0</v>
      </c>
      <c r="BI254" s="70">
        <f>G254*AP254</f>
        <v>0</v>
      </c>
      <c r="BJ254" s="70">
        <f>G254*H254</f>
        <v>0</v>
      </c>
    </row>
    <row r="255" spans="2:12" ht="12.75" customHeight="1">
      <c r="B255" s="75" t="s">
        <v>67</v>
      </c>
      <c r="C255" s="725" t="s">
        <v>358</v>
      </c>
      <c r="D255" s="726"/>
      <c r="E255" s="726"/>
      <c r="F255" s="726"/>
      <c r="G255" s="726"/>
      <c r="H255" s="726"/>
      <c r="I255" s="726"/>
      <c r="J255" s="726"/>
      <c r="K255" s="726"/>
      <c r="L255" s="726"/>
    </row>
    <row r="256" spans="1:62" ht="15">
      <c r="A256" s="69" t="s">
        <v>551</v>
      </c>
      <c r="B256" s="69" t="s">
        <v>552</v>
      </c>
      <c r="C256" s="696" t="s">
        <v>553</v>
      </c>
      <c r="D256" s="693"/>
      <c r="E256" s="693"/>
      <c r="F256" s="69" t="s">
        <v>132</v>
      </c>
      <c r="G256" s="70">
        <v>12.6</v>
      </c>
      <c r="H256" s="580">
        <v>0</v>
      </c>
      <c r="I256" s="70">
        <f>G256*AO256</f>
        <v>0</v>
      </c>
      <c r="J256" s="70">
        <f>G256*AP256</f>
        <v>0</v>
      </c>
      <c r="K256" s="70">
        <f>G256*H256</f>
        <v>0</v>
      </c>
      <c r="L256" s="71" t="s">
        <v>120</v>
      </c>
      <c r="Z256" s="70">
        <f>IF(AQ256="5",BJ256,0)</f>
        <v>0</v>
      </c>
      <c r="AB256" s="70">
        <f>IF(AQ256="1",BH256,0)</f>
        <v>0</v>
      </c>
      <c r="AC256" s="70">
        <f>IF(AQ256="1",BI256,0)</f>
        <v>0</v>
      </c>
      <c r="AD256" s="70">
        <f>IF(AQ256="7",BH256,0)</f>
        <v>0</v>
      </c>
      <c r="AE256" s="70">
        <f>IF(AQ256="7",BI256,0)</f>
        <v>0</v>
      </c>
      <c r="AF256" s="70">
        <f>IF(AQ256="2",BH256,0)</f>
        <v>0</v>
      </c>
      <c r="AG256" s="70">
        <f>IF(AQ256="2",BI256,0)</f>
        <v>0</v>
      </c>
      <c r="AH256" s="70">
        <f>IF(AQ256="0",BJ256,0)</f>
        <v>0</v>
      </c>
      <c r="AI256" s="67" t="s">
        <v>188</v>
      </c>
      <c r="AJ256" s="70">
        <f>IF(AN256=0,K256,0)</f>
        <v>0</v>
      </c>
      <c r="AK256" s="70">
        <f>IF(AN256=15,K256,0)</f>
        <v>0</v>
      </c>
      <c r="AL256" s="70">
        <f>IF(AN256=21,K256,0)</f>
        <v>0</v>
      </c>
      <c r="AN256" s="70">
        <v>21</v>
      </c>
      <c r="AO256" s="70">
        <f>H256*1</f>
        <v>0</v>
      </c>
      <c r="AP256" s="70">
        <f>H256*(1-1)</f>
        <v>0</v>
      </c>
      <c r="AQ256" s="71" t="s">
        <v>355</v>
      </c>
      <c r="AV256" s="70">
        <f>AW256+AX256</f>
        <v>0</v>
      </c>
      <c r="AW256" s="70">
        <f>G256*AO256</f>
        <v>0</v>
      </c>
      <c r="AX256" s="70">
        <f>G256*AP256</f>
        <v>0</v>
      </c>
      <c r="AY256" s="71" t="s">
        <v>356</v>
      </c>
      <c r="AZ256" s="71" t="s">
        <v>550</v>
      </c>
      <c r="BA256" s="67" t="s">
        <v>533</v>
      </c>
      <c r="BC256" s="70">
        <f>AW256+AX256</f>
        <v>0</v>
      </c>
      <c r="BD256" s="70">
        <f>H256/(100-BE256)*100</f>
        <v>0</v>
      </c>
      <c r="BE256" s="70">
        <v>0</v>
      </c>
      <c r="BF256" s="70">
        <f>256</f>
        <v>256</v>
      </c>
      <c r="BH256" s="70">
        <f>G256*AO256</f>
        <v>0</v>
      </c>
      <c r="BI256" s="70">
        <f>G256*AP256</f>
        <v>0</v>
      </c>
      <c r="BJ256" s="70">
        <f>G256*H256</f>
        <v>0</v>
      </c>
    </row>
    <row r="257" spans="2:12" ht="12.75" customHeight="1">
      <c r="B257" s="75" t="s">
        <v>67</v>
      </c>
      <c r="C257" s="725" t="s">
        <v>358</v>
      </c>
      <c r="D257" s="726"/>
      <c r="E257" s="726"/>
      <c r="F257" s="726"/>
      <c r="G257" s="726"/>
      <c r="H257" s="726"/>
      <c r="I257" s="726"/>
      <c r="J257" s="726"/>
      <c r="K257" s="726"/>
      <c r="L257" s="726"/>
    </row>
    <row r="258" spans="1:12" ht="15">
      <c r="A258" s="48"/>
      <c r="B258" s="49"/>
      <c r="C258" s="727" t="s">
        <v>554</v>
      </c>
      <c r="D258" s="728"/>
      <c r="E258" s="728"/>
      <c r="F258" s="48" t="s">
        <v>70</v>
      </c>
      <c r="G258" s="48" t="s">
        <v>70</v>
      </c>
      <c r="H258" s="48" t="s">
        <v>70</v>
      </c>
      <c r="I258" s="50">
        <f>I259+I264+I266</f>
        <v>0</v>
      </c>
      <c r="J258" s="50">
        <f>J259+J264+J266</f>
        <v>0</v>
      </c>
      <c r="K258" s="50">
        <f>K259+K264+K266</f>
        <v>0</v>
      </c>
      <c r="L258" s="51"/>
    </row>
    <row r="259" spans="1:47" ht="15">
      <c r="A259" s="88"/>
      <c r="B259" s="89" t="s">
        <v>314</v>
      </c>
      <c r="C259" s="710" t="s">
        <v>327</v>
      </c>
      <c r="D259" s="711"/>
      <c r="E259" s="711"/>
      <c r="F259" s="88" t="s">
        <v>70</v>
      </c>
      <c r="G259" s="88" t="s">
        <v>70</v>
      </c>
      <c r="H259" s="88" t="s">
        <v>70</v>
      </c>
      <c r="I259" s="90">
        <f>SUM(I260:I263)</f>
        <v>0</v>
      </c>
      <c r="J259" s="90">
        <f>SUM(J260:J263)</f>
        <v>0</v>
      </c>
      <c r="K259" s="90">
        <f>SUM(K260:K263)</f>
        <v>0</v>
      </c>
      <c r="L259" s="91"/>
      <c r="AI259" s="67" t="s">
        <v>190</v>
      </c>
      <c r="AS259" s="68">
        <f>SUM(AJ260:AJ263)</f>
        <v>0</v>
      </c>
      <c r="AT259" s="68">
        <f>SUM(AK260:AK263)</f>
        <v>0</v>
      </c>
      <c r="AU259" s="68">
        <f>SUM(AL260:AL263)</f>
        <v>0</v>
      </c>
    </row>
    <row r="260" spans="1:62" ht="15">
      <c r="A260" s="69" t="s">
        <v>555</v>
      </c>
      <c r="B260" s="69" t="s">
        <v>318</v>
      </c>
      <c r="C260" s="696" t="s">
        <v>319</v>
      </c>
      <c r="D260" s="693"/>
      <c r="E260" s="693"/>
      <c r="F260" s="69" t="s">
        <v>109</v>
      </c>
      <c r="G260" s="70">
        <v>4</v>
      </c>
      <c r="H260" s="580">
        <v>0</v>
      </c>
      <c r="I260" s="70">
        <f>G260*AO260</f>
        <v>0</v>
      </c>
      <c r="J260" s="70">
        <f>G260*AP260</f>
        <v>0</v>
      </c>
      <c r="K260" s="70">
        <f>G260*H260</f>
        <v>0</v>
      </c>
      <c r="L260" s="71" t="s">
        <v>282</v>
      </c>
      <c r="Z260" s="70">
        <f>IF(AQ260="5",BJ260,0)</f>
        <v>0</v>
      </c>
      <c r="AB260" s="70">
        <f>IF(AQ260="1",BH260,0)</f>
        <v>0</v>
      </c>
      <c r="AC260" s="70">
        <f>IF(AQ260="1",BI260,0)</f>
        <v>0</v>
      </c>
      <c r="AD260" s="70">
        <f>IF(AQ260="7",BH260,0)</f>
        <v>0</v>
      </c>
      <c r="AE260" s="70">
        <f>IF(AQ260="7",BI260,0)</f>
        <v>0</v>
      </c>
      <c r="AF260" s="70">
        <f>IF(AQ260="2",BH260,0)</f>
        <v>0</v>
      </c>
      <c r="AG260" s="70">
        <f>IF(AQ260="2",BI260,0)</f>
        <v>0</v>
      </c>
      <c r="AH260" s="70">
        <f>IF(AQ260="0",BJ260,0)</f>
        <v>0</v>
      </c>
      <c r="AI260" s="67" t="s">
        <v>190</v>
      </c>
      <c r="AJ260" s="70">
        <f>IF(AN260=0,K260,0)</f>
        <v>0</v>
      </c>
      <c r="AK260" s="70">
        <f>IF(AN260=15,K260,0)</f>
        <v>0</v>
      </c>
      <c r="AL260" s="70">
        <f>IF(AN260=21,K260,0)</f>
        <v>0</v>
      </c>
      <c r="AN260" s="70">
        <v>21</v>
      </c>
      <c r="AO260" s="70">
        <f>H260*0</f>
        <v>0</v>
      </c>
      <c r="AP260" s="70">
        <f>H260*(1-0)</f>
        <v>0</v>
      </c>
      <c r="AQ260" s="71" t="s">
        <v>106</v>
      </c>
      <c r="AV260" s="70">
        <f>AW260+AX260</f>
        <v>0</v>
      </c>
      <c r="AW260" s="70">
        <f>G260*AO260</f>
        <v>0</v>
      </c>
      <c r="AX260" s="70">
        <f>G260*AP260</f>
        <v>0</v>
      </c>
      <c r="AY260" s="71" t="s">
        <v>331</v>
      </c>
      <c r="AZ260" s="71" t="s">
        <v>556</v>
      </c>
      <c r="BA260" s="67" t="s">
        <v>557</v>
      </c>
      <c r="BC260" s="70">
        <f>AW260+AX260</f>
        <v>0</v>
      </c>
      <c r="BD260" s="70">
        <f>H260/(100-BE260)*100</f>
        <v>0</v>
      </c>
      <c r="BE260" s="70">
        <v>0</v>
      </c>
      <c r="BF260" s="70">
        <f>260</f>
        <v>260</v>
      </c>
      <c r="BH260" s="70">
        <f>G260*AO260</f>
        <v>0</v>
      </c>
      <c r="BI260" s="70">
        <f>G260*AP260</f>
        <v>0</v>
      </c>
      <c r="BJ260" s="70">
        <f>G260*H260</f>
        <v>0</v>
      </c>
    </row>
    <row r="261" spans="1:62" ht="15">
      <c r="A261" s="69" t="s">
        <v>558</v>
      </c>
      <c r="B261" s="69" t="s">
        <v>559</v>
      </c>
      <c r="C261" s="696" t="s">
        <v>560</v>
      </c>
      <c r="D261" s="693"/>
      <c r="E261" s="693"/>
      <c r="F261" s="69" t="s">
        <v>109</v>
      </c>
      <c r="G261" s="70">
        <v>4</v>
      </c>
      <c r="H261" s="580">
        <v>0</v>
      </c>
      <c r="I261" s="70">
        <f>G261*AO261</f>
        <v>0</v>
      </c>
      <c r="J261" s="70">
        <f>G261*AP261</f>
        <v>0</v>
      </c>
      <c r="K261" s="70">
        <f>G261*H261</f>
        <v>0</v>
      </c>
      <c r="L261" s="71" t="s">
        <v>120</v>
      </c>
      <c r="Z261" s="70">
        <f>IF(AQ261="5",BJ261,0)</f>
        <v>0</v>
      </c>
      <c r="AB261" s="70">
        <f>IF(AQ261="1",BH261,0)</f>
        <v>0</v>
      </c>
      <c r="AC261" s="70">
        <f>IF(AQ261="1",BI261,0)</f>
        <v>0</v>
      </c>
      <c r="AD261" s="70">
        <f>IF(AQ261="7",BH261,0)</f>
        <v>0</v>
      </c>
      <c r="AE261" s="70">
        <f>IF(AQ261="7",BI261,0)</f>
        <v>0</v>
      </c>
      <c r="AF261" s="70">
        <f>IF(AQ261="2",BH261,0)</f>
        <v>0</v>
      </c>
      <c r="AG261" s="70">
        <f>IF(AQ261="2",BI261,0)</f>
        <v>0</v>
      </c>
      <c r="AH261" s="70">
        <f>IF(AQ261="0",BJ261,0)</f>
        <v>0</v>
      </c>
      <c r="AI261" s="67" t="s">
        <v>190</v>
      </c>
      <c r="AJ261" s="70">
        <f>IF(AN261=0,K261,0)</f>
        <v>0</v>
      </c>
      <c r="AK261" s="70">
        <f>IF(AN261=15,K261,0)</f>
        <v>0</v>
      </c>
      <c r="AL261" s="70">
        <f>IF(AN261=21,K261,0)</f>
        <v>0</v>
      </c>
      <c r="AN261" s="70">
        <v>21</v>
      </c>
      <c r="AO261" s="70">
        <f>H261*0.739424460431655</f>
        <v>0</v>
      </c>
      <c r="AP261" s="70">
        <f>H261*(1-0.739424460431655)</f>
        <v>0</v>
      </c>
      <c r="AQ261" s="71" t="s">
        <v>106</v>
      </c>
      <c r="AV261" s="70">
        <f>AW261+AX261</f>
        <v>0</v>
      </c>
      <c r="AW261" s="70">
        <f>G261*AO261</f>
        <v>0</v>
      </c>
      <c r="AX261" s="70">
        <f>G261*AP261</f>
        <v>0</v>
      </c>
      <c r="AY261" s="71" t="s">
        <v>331</v>
      </c>
      <c r="AZ261" s="71" t="s">
        <v>556</v>
      </c>
      <c r="BA261" s="67" t="s">
        <v>557</v>
      </c>
      <c r="BC261" s="70">
        <f>AW261+AX261</f>
        <v>0</v>
      </c>
      <c r="BD261" s="70">
        <f>H261/(100-BE261)*100</f>
        <v>0</v>
      </c>
      <c r="BE261" s="70">
        <v>0</v>
      </c>
      <c r="BF261" s="70">
        <f>261</f>
        <v>261</v>
      </c>
      <c r="BH261" s="70">
        <f>G261*AO261</f>
        <v>0</v>
      </c>
      <c r="BI261" s="70">
        <f>G261*AP261</f>
        <v>0</v>
      </c>
      <c r="BJ261" s="70">
        <f>G261*H261</f>
        <v>0</v>
      </c>
    </row>
    <row r="262" spans="1:62" ht="15">
      <c r="A262" s="69" t="s">
        <v>561</v>
      </c>
      <c r="B262" s="69" t="s">
        <v>390</v>
      </c>
      <c r="C262" s="696" t="s">
        <v>562</v>
      </c>
      <c r="D262" s="693"/>
      <c r="E262" s="693"/>
      <c r="F262" s="69" t="s">
        <v>109</v>
      </c>
      <c r="G262" s="70">
        <v>4</v>
      </c>
      <c r="H262" s="580">
        <v>0</v>
      </c>
      <c r="I262" s="70">
        <f>G262*AO262</f>
        <v>0</v>
      </c>
      <c r="J262" s="70">
        <f>G262*AP262</f>
        <v>0</v>
      </c>
      <c r="K262" s="70">
        <f>G262*H262</f>
        <v>0</v>
      </c>
      <c r="L262" s="71" t="s">
        <v>120</v>
      </c>
      <c r="Z262" s="70">
        <f>IF(AQ262="5",BJ262,0)</f>
        <v>0</v>
      </c>
      <c r="AB262" s="70">
        <f>IF(AQ262="1",BH262,0)</f>
        <v>0</v>
      </c>
      <c r="AC262" s="70">
        <f>IF(AQ262="1",BI262,0)</f>
        <v>0</v>
      </c>
      <c r="AD262" s="70">
        <f>IF(AQ262="7",BH262,0)</f>
        <v>0</v>
      </c>
      <c r="AE262" s="70">
        <f>IF(AQ262="7",BI262,0)</f>
        <v>0</v>
      </c>
      <c r="AF262" s="70">
        <f>IF(AQ262="2",BH262,0)</f>
        <v>0</v>
      </c>
      <c r="AG262" s="70">
        <f>IF(AQ262="2",BI262,0)</f>
        <v>0</v>
      </c>
      <c r="AH262" s="70">
        <f>IF(AQ262="0",BJ262,0)</f>
        <v>0</v>
      </c>
      <c r="AI262" s="67" t="s">
        <v>190</v>
      </c>
      <c r="AJ262" s="70">
        <f>IF(AN262=0,K262,0)</f>
        <v>0</v>
      </c>
      <c r="AK262" s="70">
        <f>IF(AN262=15,K262,0)</f>
        <v>0</v>
      </c>
      <c r="AL262" s="70">
        <f>IF(AN262=21,K262,0)</f>
        <v>0</v>
      </c>
      <c r="AN262" s="70">
        <v>21</v>
      </c>
      <c r="AO262" s="70">
        <f>H262*0.475652173913043</f>
        <v>0</v>
      </c>
      <c r="AP262" s="70">
        <f>H262*(1-0.475652173913043)</f>
        <v>0</v>
      </c>
      <c r="AQ262" s="71" t="s">
        <v>106</v>
      </c>
      <c r="AV262" s="70">
        <f>AW262+AX262</f>
        <v>0</v>
      </c>
      <c r="AW262" s="70">
        <f>G262*AO262</f>
        <v>0</v>
      </c>
      <c r="AX262" s="70">
        <f>G262*AP262</f>
        <v>0</v>
      </c>
      <c r="AY262" s="71" t="s">
        <v>331</v>
      </c>
      <c r="AZ262" s="71" t="s">
        <v>556</v>
      </c>
      <c r="BA262" s="67" t="s">
        <v>557</v>
      </c>
      <c r="BC262" s="70">
        <f>AW262+AX262</f>
        <v>0</v>
      </c>
      <c r="BD262" s="70">
        <f>H262/(100-BE262)*100</f>
        <v>0</v>
      </c>
      <c r="BE262" s="70">
        <v>0</v>
      </c>
      <c r="BF262" s="70">
        <f>262</f>
        <v>262</v>
      </c>
      <c r="BH262" s="70">
        <f>G262*AO262</f>
        <v>0</v>
      </c>
      <c r="BI262" s="70">
        <f>G262*AP262</f>
        <v>0</v>
      </c>
      <c r="BJ262" s="70">
        <f>G262*H262</f>
        <v>0</v>
      </c>
    </row>
    <row r="263" spans="1:62" ht="15">
      <c r="A263" s="69" t="s">
        <v>563</v>
      </c>
      <c r="B263" s="69" t="s">
        <v>396</v>
      </c>
      <c r="C263" s="696" t="s">
        <v>564</v>
      </c>
      <c r="D263" s="693"/>
      <c r="E263" s="693"/>
      <c r="F263" s="69" t="s">
        <v>109</v>
      </c>
      <c r="G263" s="70">
        <v>4</v>
      </c>
      <c r="H263" s="580">
        <v>0</v>
      </c>
      <c r="I263" s="70">
        <f>G263*AO263</f>
        <v>0</v>
      </c>
      <c r="J263" s="70">
        <f>G263*AP263</f>
        <v>0</v>
      </c>
      <c r="K263" s="70">
        <f>G263*H263</f>
        <v>0</v>
      </c>
      <c r="L263" s="71" t="s">
        <v>120</v>
      </c>
      <c r="Z263" s="70">
        <f>IF(AQ263="5",BJ263,0)</f>
        <v>0</v>
      </c>
      <c r="AB263" s="70">
        <f>IF(AQ263="1",BH263,0)</f>
        <v>0</v>
      </c>
      <c r="AC263" s="70">
        <f>IF(AQ263="1",BI263,0)</f>
        <v>0</v>
      </c>
      <c r="AD263" s="70">
        <f>IF(AQ263="7",BH263,0)</f>
        <v>0</v>
      </c>
      <c r="AE263" s="70">
        <f>IF(AQ263="7",BI263,0)</f>
        <v>0</v>
      </c>
      <c r="AF263" s="70">
        <f>IF(AQ263="2",BH263,0)</f>
        <v>0</v>
      </c>
      <c r="AG263" s="70">
        <f>IF(AQ263="2",BI263,0)</f>
        <v>0</v>
      </c>
      <c r="AH263" s="70">
        <f>IF(AQ263="0",BJ263,0)</f>
        <v>0</v>
      </c>
      <c r="AI263" s="67" t="s">
        <v>190</v>
      </c>
      <c r="AJ263" s="70">
        <f>IF(AN263=0,K263,0)</f>
        <v>0</v>
      </c>
      <c r="AK263" s="70">
        <f>IF(AN263=15,K263,0)</f>
        <v>0</v>
      </c>
      <c r="AL263" s="70">
        <f>IF(AN263=21,K263,0)</f>
        <v>0</v>
      </c>
      <c r="AN263" s="70">
        <v>21</v>
      </c>
      <c r="AO263" s="70">
        <f>H263*0.460483870967742</f>
        <v>0</v>
      </c>
      <c r="AP263" s="70">
        <f>H263*(1-0.460483870967742)</f>
        <v>0</v>
      </c>
      <c r="AQ263" s="71" t="s">
        <v>114</v>
      </c>
      <c r="AV263" s="70">
        <f>AW263+AX263</f>
        <v>0</v>
      </c>
      <c r="AW263" s="70">
        <f>G263*AO263</f>
        <v>0</v>
      </c>
      <c r="AX263" s="70">
        <f>G263*AP263</f>
        <v>0</v>
      </c>
      <c r="AY263" s="71" t="s">
        <v>331</v>
      </c>
      <c r="AZ263" s="71" t="s">
        <v>556</v>
      </c>
      <c r="BA263" s="67" t="s">
        <v>557</v>
      </c>
      <c r="BC263" s="70">
        <f>AW263+AX263</f>
        <v>0</v>
      </c>
      <c r="BD263" s="70">
        <f>H263/(100-BE263)*100</f>
        <v>0</v>
      </c>
      <c r="BE263" s="70">
        <v>0</v>
      </c>
      <c r="BF263" s="70">
        <f>263</f>
        <v>263</v>
      </c>
      <c r="BH263" s="70">
        <f>G263*AO263</f>
        <v>0</v>
      </c>
      <c r="BI263" s="70">
        <f>G263*AP263</f>
        <v>0</v>
      </c>
      <c r="BJ263" s="70">
        <f>G263*H263</f>
        <v>0</v>
      </c>
    </row>
    <row r="264" spans="1:47" ht="15">
      <c r="A264" s="88"/>
      <c r="B264" s="89" t="s">
        <v>345</v>
      </c>
      <c r="C264" s="710" t="s">
        <v>346</v>
      </c>
      <c r="D264" s="711"/>
      <c r="E264" s="711"/>
      <c r="F264" s="88" t="s">
        <v>70</v>
      </c>
      <c r="G264" s="88" t="s">
        <v>70</v>
      </c>
      <c r="H264" s="88" t="s">
        <v>70</v>
      </c>
      <c r="I264" s="90">
        <f>SUM(I265:I265)</f>
        <v>0</v>
      </c>
      <c r="J264" s="90">
        <f>SUM(J265:J265)</f>
        <v>0</v>
      </c>
      <c r="K264" s="90">
        <f>SUM(K265:K265)</f>
        <v>0</v>
      </c>
      <c r="L264" s="91"/>
      <c r="AI264" s="67" t="s">
        <v>190</v>
      </c>
      <c r="AS264" s="68">
        <f>SUM(AJ265:AJ265)</f>
        <v>0</v>
      </c>
      <c r="AT264" s="68">
        <f>SUM(AK265:AK265)</f>
        <v>0</v>
      </c>
      <c r="AU264" s="68">
        <f>SUM(AL265:AL265)</f>
        <v>0</v>
      </c>
    </row>
    <row r="265" spans="1:62" ht="15">
      <c r="A265" s="69" t="s">
        <v>565</v>
      </c>
      <c r="B265" s="69" t="s">
        <v>348</v>
      </c>
      <c r="C265" s="696" t="s">
        <v>349</v>
      </c>
      <c r="D265" s="693"/>
      <c r="E265" s="693"/>
      <c r="F265" s="69" t="s">
        <v>132</v>
      </c>
      <c r="G265" s="70">
        <v>4.8</v>
      </c>
      <c r="H265" s="580">
        <v>0</v>
      </c>
      <c r="I265" s="70">
        <f>G265*AO265</f>
        <v>0</v>
      </c>
      <c r="J265" s="70">
        <f>G265*AP265</f>
        <v>0</v>
      </c>
      <c r="K265" s="70">
        <f>G265*H265</f>
        <v>0</v>
      </c>
      <c r="L265" s="71" t="s">
        <v>282</v>
      </c>
      <c r="Z265" s="70">
        <f>IF(AQ265="5",BJ265,0)</f>
        <v>0</v>
      </c>
      <c r="AB265" s="70">
        <f>IF(AQ265="1",BH265,0)</f>
        <v>0</v>
      </c>
      <c r="AC265" s="70">
        <f>IF(AQ265="1",BI265,0)</f>
        <v>0</v>
      </c>
      <c r="AD265" s="70">
        <f>IF(AQ265="7",BH265,0)</f>
        <v>0</v>
      </c>
      <c r="AE265" s="70">
        <f>IF(AQ265="7",BI265,0)</f>
        <v>0</v>
      </c>
      <c r="AF265" s="70">
        <f>IF(AQ265="2",BH265,0)</f>
        <v>0</v>
      </c>
      <c r="AG265" s="70">
        <f>IF(AQ265="2",BI265,0)</f>
        <v>0</v>
      </c>
      <c r="AH265" s="70">
        <f>IF(AQ265="0",BJ265,0)</f>
        <v>0</v>
      </c>
      <c r="AI265" s="67" t="s">
        <v>190</v>
      </c>
      <c r="AJ265" s="70">
        <f>IF(AN265=0,K265,0)</f>
        <v>0</v>
      </c>
      <c r="AK265" s="70">
        <f>IF(AN265=15,K265,0)</f>
        <v>0</v>
      </c>
      <c r="AL265" s="70">
        <f>IF(AN265=21,K265,0)</f>
        <v>0</v>
      </c>
      <c r="AN265" s="70">
        <v>21</v>
      </c>
      <c r="AO265" s="70">
        <f>H265*0</f>
        <v>0</v>
      </c>
      <c r="AP265" s="70">
        <f>H265*(1-0)</f>
        <v>0</v>
      </c>
      <c r="AQ265" s="71" t="s">
        <v>124</v>
      </c>
      <c r="AV265" s="70">
        <f>AW265+AX265</f>
        <v>0</v>
      </c>
      <c r="AW265" s="70">
        <f>G265*AO265</f>
        <v>0</v>
      </c>
      <c r="AX265" s="70">
        <f>G265*AP265</f>
        <v>0</v>
      </c>
      <c r="AY265" s="71" t="s">
        <v>350</v>
      </c>
      <c r="AZ265" s="71" t="s">
        <v>566</v>
      </c>
      <c r="BA265" s="67" t="s">
        <v>557</v>
      </c>
      <c r="BC265" s="70">
        <f>AW265+AX265</f>
        <v>0</v>
      </c>
      <c r="BD265" s="70">
        <f>H265/(100-BE265)*100</f>
        <v>0</v>
      </c>
      <c r="BE265" s="70">
        <v>0</v>
      </c>
      <c r="BF265" s="70">
        <f>265</f>
        <v>265</v>
      </c>
      <c r="BH265" s="70">
        <f>G265*AO265</f>
        <v>0</v>
      </c>
      <c r="BI265" s="70">
        <f>G265*AP265</f>
        <v>0</v>
      </c>
      <c r="BJ265" s="70">
        <f>G265*H265</f>
        <v>0</v>
      </c>
    </row>
    <row r="266" spans="1:47" ht="15">
      <c r="A266" s="88"/>
      <c r="B266" s="89"/>
      <c r="C266" s="710" t="s">
        <v>52</v>
      </c>
      <c r="D266" s="711"/>
      <c r="E266" s="711"/>
      <c r="F266" s="88" t="s">
        <v>70</v>
      </c>
      <c r="G266" s="88" t="s">
        <v>70</v>
      </c>
      <c r="H266" s="88" t="s">
        <v>70</v>
      </c>
      <c r="I266" s="90">
        <f>SUM(I267:I269)</f>
        <v>0</v>
      </c>
      <c r="J266" s="90">
        <f>SUM(J267:J269)</f>
        <v>0</v>
      </c>
      <c r="K266" s="90">
        <f>SUM(K267:K269)</f>
        <v>0</v>
      </c>
      <c r="L266" s="91"/>
      <c r="AI266" s="67" t="s">
        <v>190</v>
      </c>
      <c r="AS266" s="68">
        <f>SUM(AJ267:AJ269)</f>
        <v>0</v>
      </c>
      <c r="AT266" s="68">
        <f>SUM(AK267:AK269)</f>
        <v>0</v>
      </c>
      <c r="AU266" s="68">
        <f>SUM(AL267:AL269)</f>
        <v>0</v>
      </c>
    </row>
    <row r="267" spans="1:62" ht="15">
      <c r="A267" s="69" t="s">
        <v>567</v>
      </c>
      <c r="B267" s="69" t="s">
        <v>405</v>
      </c>
      <c r="C267" s="696" t="s">
        <v>568</v>
      </c>
      <c r="D267" s="693"/>
      <c r="E267" s="693"/>
      <c r="F267" s="69" t="s">
        <v>407</v>
      </c>
      <c r="G267" s="70">
        <v>20</v>
      </c>
      <c r="H267" s="580">
        <v>0</v>
      </c>
      <c r="I267" s="70">
        <f>G267*AO267</f>
        <v>0</v>
      </c>
      <c r="J267" s="70">
        <f>G267*AP267</f>
        <v>0</v>
      </c>
      <c r="K267" s="70">
        <f>G267*H267</f>
        <v>0</v>
      </c>
      <c r="L267" s="71"/>
      <c r="Z267" s="70">
        <f>IF(AQ267="5",BJ267,0)</f>
        <v>0</v>
      </c>
      <c r="AB267" s="70">
        <f>IF(AQ267="1",BH267,0)</f>
        <v>0</v>
      </c>
      <c r="AC267" s="70">
        <f>IF(AQ267="1",BI267,0)</f>
        <v>0</v>
      </c>
      <c r="AD267" s="70">
        <f>IF(AQ267="7",BH267,0)</f>
        <v>0</v>
      </c>
      <c r="AE267" s="70">
        <f>IF(AQ267="7",BI267,0)</f>
        <v>0</v>
      </c>
      <c r="AF267" s="70">
        <f>IF(AQ267="2",BH267,0)</f>
        <v>0</v>
      </c>
      <c r="AG267" s="70">
        <f>IF(AQ267="2",BI267,0)</f>
        <v>0</v>
      </c>
      <c r="AH267" s="70">
        <f>IF(AQ267="0",BJ267,0)</f>
        <v>0</v>
      </c>
      <c r="AI267" s="67" t="s">
        <v>190</v>
      </c>
      <c r="AJ267" s="70">
        <f>IF(AN267=0,K267,0)</f>
        <v>0</v>
      </c>
      <c r="AK267" s="70">
        <f>IF(AN267=15,K267,0)</f>
        <v>0</v>
      </c>
      <c r="AL267" s="70">
        <f>IF(AN267=21,K267,0)</f>
        <v>0</v>
      </c>
      <c r="AN267" s="70">
        <v>21</v>
      </c>
      <c r="AO267" s="70">
        <f>H267*1</f>
        <v>0</v>
      </c>
      <c r="AP267" s="70">
        <f>H267*(1-1)</f>
        <v>0</v>
      </c>
      <c r="AQ267" s="71" t="s">
        <v>355</v>
      </c>
      <c r="AV267" s="70">
        <f>AW267+AX267</f>
        <v>0</v>
      </c>
      <c r="AW267" s="70">
        <f>G267*AO267</f>
        <v>0</v>
      </c>
      <c r="AX267" s="70">
        <f>G267*AP267</f>
        <v>0</v>
      </c>
      <c r="AY267" s="71" t="s">
        <v>356</v>
      </c>
      <c r="AZ267" s="71" t="s">
        <v>569</v>
      </c>
      <c r="BA267" s="67" t="s">
        <v>557</v>
      </c>
      <c r="BC267" s="70">
        <f>AW267+AX267</f>
        <v>0</v>
      </c>
      <c r="BD267" s="70">
        <f>H267/(100-BE267)*100</f>
        <v>0</v>
      </c>
      <c r="BE267" s="70">
        <v>0</v>
      </c>
      <c r="BF267" s="70">
        <f>267</f>
        <v>267</v>
      </c>
      <c r="BH267" s="70">
        <f>G267*AO267</f>
        <v>0</v>
      </c>
      <c r="BI267" s="70">
        <f>G267*AP267</f>
        <v>0</v>
      </c>
      <c r="BJ267" s="70">
        <f>G267*H267</f>
        <v>0</v>
      </c>
    </row>
    <row r="268" spans="2:12" ht="12.75" customHeight="1">
      <c r="B268" s="75" t="s">
        <v>67</v>
      </c>
      <c r="C268" s="725" t="s">
        <v>570</v>
      </c>
      <c r="D268" s="726"/>
      <c r="E268" s="726"/>
      <c r="F268" s="726"/>
      <c r="G268" s="726"/>
      <c r="H268" s="726"/>
      <c r="I268" s="726"/>
      <c r="J268" s="726"/>
      <c r="K268" s="726"/>
      <c r="L268" s="726"/>
    </row>
    <row r="269" spans="1:62" ht="15">
      <c r="A269" s="72" t="s">
        <v>571</v>
      </c>
      <c r="B269" s="72" t="s">
        <v>370</v>
      </c>
      <c r="C269" s="712" t="s">
        <v>572</v>
      </c>
      <c r="D269" s="693"/>
      <c r="E269" s="713"/>
      <c r="F269" s="72" t="s">
        <v>109</v>
      </c>
      <c r="G269" s="73">
        <v>4.2</v>
      </c>
      <c r="H269" s="581">
        <v>0</v>
      </c>
      <c r="I269" s="73">
        <f>G269*AO269</f>
        <v>0</v>
      </c>
      <c r="J269" s="73">
        <f>G269*AP269</f>
        <v>0</v>
      </c>
      <c r="K269" s="73">
        <f>G269*H269</f>
        <v>0</v>
      </c>
      <c r="L269" s="74" t="s">
        <v>120</v>
      </c>
      <c r="Z269" s="70">
        <f>IF(AQ269="5",BJ269,0)</f>
        <v>0</v>
      </c>
      <c r="AB269" s="70">
        <f>IF(AQ269="1",BH269,0)</f>
        <v>0</v>
      </c>
      <c r="AC269" s="70">
        <f>IF(AQ269="1",BI269,0)</f>
        <v>0</v>
      </c>
      <c r="AD269" s="70">
        <f>IF(AQ269="7",BH269,0)</f>
        <v>0</v>
      </c>
      <c r="AE269" s="70">
        <f>IF(AQ269="7",BI269,0)</f>
        <v>0</v>
      </c>
      <c r="AF269" s="70">
        <f>IF(AQ269="2",BH269,0)</f>
        <v>0</v>
      </c>
      <c r="AG269" s="70">
        <f>IF(AQ269="2",BI269,0)</f>
        <v>0</v>
      </c>
      <c r="AH269" s="70">
        <f>IF(AQ269="0",BJ269,0)</f>
        <v>0</v>
      </c>
      <c r="AI269" s="67" t="s">
        <v>190</v>
      </c>
      <c r="AJ269" s="70">
        <f>IF(AN269=0,K269,0)</f>
        <v>0</v>
      </c>
      <c r="AK269" s="70">
        <f>IF(AN269=15,K269,0)</f>
        <v>0</v>
      </c>
      <c r="AL269" s="70">
        <f>IF(AN269=21,K269,0)</f>
        <v>0</v>
      </c>
      <c r="AN269" s="70">
        <v>21</v>
      </c>
      <c r="AO269" s="70">
        <f>H269*1</f>
        <v>0</v>
      </c>
      <c r="AP269" s="70">
        <f>H269*(1-1)</f>
        <v>0</v>
      </c>
      <c r="AQ269" s="71" t="s">
        <v>355</v>
      </c>
      <c r="AV269" s="70">
        <f>AW269+AX269</f>
        <v>0</v>
      </c>
      <c r="AW269" s="70">
        <f>G269*AO269</f>
        <v>0</v>
      </c>
      <c r="AX269" s="70">
        <f>G269*AP269</f>
        <v>0</v>
      </c>
      <c r="AY269" s="71" t="s">
        <v>356</v>
      </c>
      <c r="AZ269" s="71" t="s">
        <v>569</v>
      </c>
      <c r="BA269" s="67" t="s">
        <v>557</v>
      </c>
      <c r="BC269" s="70">
        <f>AW269+AX269</f>
        <v>0</v>
      </c>
      <c r="BD269" s="70">
        <f>H269/(100-BE269)*100</f>
        <v>0</v>
      </c>
      <c r="BE269" s="70">
        <v>0</v>
      </c>
      <c r="BF269" s="70">
        <f>269</f>
        <v>269</v>
      </c>
      <c r="BH269" s="70">
        <f>G269*AO269</f>
        <v>0</v>
      </c>
      <c r="BI269" s="70">
        <f>G269*AP269</f>
        <v>0</v>
      </c>
      <c r="BJ269" s="70">
        <f>G269*H269</f>
        <v>0</v>
      </c>
    </row>
    <row r="270" spans="2:12" ht="38.7" customHeight="1">
      <c r="B270" s="75" t="s">
        <v>67</v>
      </c>
      <c r="C270" s="725" t="s">
        <v>573</v>
      </c>
      <c r="D270" s="726"/>
      <c r="E270" s="726"/>
      <c r="F270" s="726"/>
      <c r="G270" s="726"/>
      <c r="H270" s="726"/>
      <c r="I270" s="726"/>
      <c r="J270" s="726"/>
      <c r="K270" s="726"/>
      <c r="L270" s="726"/>
    </row>
    <row r="271" spans="1:12" ht="15">
      <c r="A271" s="48"/>
      <c r="B271" s="49"/>
      <c r="C271" s="727" t="s">
        <v>574</v>
      </c>
      <c r="D271" s="728"/>
      <c r="E271" s="728"/>
      <c r="F271" s="48" t="s">
        <v>70</v>
      </c>
      <c r="G271" s="48" t="s">
        <v>70</v>
      </c>
      <c r="H271" s="48" t="s">
        <v>70</v>
      </c>
      <c r="I271" s="50">
        <f>I272+I279+I281</f>
        <v>0</v>
      </c>
      <c r="J271" s="50">
        <f>J272+J279+J281</f>
        <v>0</v>
      </c>
      <c r="K271" s="50">
        <f>K272+K279+K281</f>
        <v>0</v>
      </c>
      <c r="L271" s="51"/>
    </row>
    <row r="272" spans="1:47" ht="15">
      <c r="A272" s="88"/>
      <c r="B272" s="89" t="s">
        <v>314</v>
      </c>
      <c r="C272" s="710" t="s">
        <v>327</v>
      </c>
      <c r="D272" s="711"/>
      <c r="E272" s="711"/>
      <c r="F272" s="88" t="s">
        <v>70</v>
      </c>
      <c r="G272" s="88" t="s">
        <v>70</v>
      </c>
      <c r="H272" s="88" t="s">
        <v>70</v>
      </c>
      <c r="I272" s="90">
        <f>SUM(I273:I278)</f>
        <v>0</v>
      </c>
      <c r="J272" s="90">
        <f>SUM(J273:J278)</f>
        <v>0</v>
      </c>
      <c r="K272" s="90">
        <f>SUM(K273:K278)</f>
        <v>0</v>
      </c>
      <c r="L272" s="91"/>
      <c r="AI272" s="67" t="s">
        <v>193</v>
      </c>
      <c r="AS272" s="68">
        <f>SUM(AJ273:AJ278)</f>
        <v>0</v>
      </c>
      <c r="AT272" s="68">
        <f>SUM(AK273:AK278)</f>
        <v>0</v>
      </c>
      <c r="AU272" s="68">
        <f>SUM(AL273:AL278)</f>
        <v>0</v>
      </c>
    </row>
    <row r="273" spans="1:62" ht="15">
      <c r="A273" s="69" t="s">
        <v>575</v>
      </c>
      <c r="B273" s="69" t="s">
        <v>318</v>
      </c>
      <c r="C273" s="696" t="s">
        <v>319</v>
      </c>
      <c r="D273" s="693"/>
      <c r="E273" s="693"/>
      <c r="F273" s="69" t="s">
        <v>109</v>
      </c>
      <c r="G273" s="70">
        <v>41</v>
      </c>
      <c r="H273" s="580">
        <v>0</v>
      </c>
      <c r="I273" s="70">
        <f>G273*AO273</f>
        <v>0</v>
      </c>
      <c r="J273" s="70">
        <f>G273*AP273</f>
        <v>0</v>
      </c>
      <c r="K273" s="70">
        <f>G273*H273</f>
        <v>0</v>
      </c>
      <c r="L273" s="71" t="s">
        <v>282</v>
      </c>
      <c r="Z273" s="70">
        <f>IF(AQ273="5",BJ273,0)</f>
        <v>0</v>
      </c>
      <c r="AB273" s="70">
        <f>IF(AQ273="1",BH273,0)</f>
        <v>0</v>
      </c>
      <c r="AC273" s="70">
        <f>IF(AQ273="1",BI273,0)</f>
        <v>0</v>
      </c>
      <c r="AD273" s="70">
        <f>IF(AQ273="7",BH273,0)</f>
        <v>0</v>
      </c>
      <c r="AE273" s="70">
        <f>IF(AQ273="7",BI273,0)</f>
        <v>0</v>
      </c>
      <c r="AF273" s="70">
        <f>IF(AQ273="2",BH273,0)</f>
        <v>0</v>
      </c>
      <c r="AG273" s="70">
        <f>IF(AQ273="2",BI273,0)</f>
        <v>0</v>
      </c>
      <c r="AH273" s="70">
        <f>IF(AQ273="0",BJ273,0)</f>
        <v>0</v>
      </c>
      <c r="AI273" s="67" t="s">
        <v>193</v>
      </c>
      <c r="AJ273" s="70">
        <f>IF(AN273=0,K273,0)</f>
        <v>0</v>
      </c>
      <c r="AK273" s="70">
        <f>IF(AN273=15,K273,0)</f>
        <v>0</v>
      </c>
      <c r="AL273" s="70">
        <f>IF(AN273=21,K273,0)</f>
        <v>0</v>
      </c>
      <c r="AN273" s="70">
        <v>21</v>
      </c>
      <c r="AO273" s="70">
        <f>H273*0</f>
        <v>0</v>
      </c>
      <c r="AP273" s="70">
        <f>H273*(1-0)</f>
        <v>0</v>
      </c>
      <c r="AQ273" s="71" t="s">
        <v>106</v>
      </c>
      <c r="AV273" s="70">
        <f>AW273+AX273</f>
        <v>0</v>
      </c>
      <c r="AW273" s="70">
        <f>G273*AO273</f>
        <v>0</v>
      </c>
      <c r="AX273" s="70">
        <f>G273*AP273</f>
        <v>0</v>
      </c>
      <c r="AY273" s="71" t="s">
        <v>331</v>
      </c>
      <c r="AZ273" s="71" t="s">
        <v>576</v>
      </c>
      <c r="BA273" s="67" t="s">
        <v>577</v>
      </c>
      <c r="BC273" s="70">
        <f>AW273+AX273</f>
        <v>0</v>
      </c>
      <c r="BD273" s="70">
        <f>H273/(100-BE273)*100</f>
        <v>0</v>
      </c>
      <c r="BE273" s="70">
        <v>0</v>
      </c>
      <c r="BF273" s="70">
        <f>273</f>
        <v>273</v>
      </c>
      <c r="BH273" s="70">
        <f>G273*AO273</f>
        <v>0</v>
      </c>
      <c r="BI273" s="70">
        <f>G273*AP273</f>
        <v>0</v>
      </c>
      <c r="BJ273" s="70">
        <f>G273*H273</f>
        <v>0</v>
      </c>
    </row>
    <row r="274" spans="1:62" ht="15">
      <c r="A274" s="69" t="s">
        <v>578</v>
      </c>
      <c r="B274" s="69" t="s">
        <v>329</v>
      </c>
      <c r="C274" s="696" t="s">
        <v>330</v>
      </c>
      <c r="D274" s="693"/>
      <c r="E274" s="693"/>
      <c r="F274" s="69" t="s">
        <v>253</v>
      </c>
      <c r="G274" s="70">
        <v>6.9</v>
      </c>
      <c r="H274" s="580">
        <v>0</v>
      </c>
      <c r="I274" s="70">
        <f>G274*AO274</f>
        <v>0</v>
      </c>
      <c r="J274" s="70">
        <f>G274*AP274</f>
        <v>0</v>
      </c>
      <c r="K274" s="70">
        <f>G274*H274</f>
        <v>0</v>
      </c>
      <c r="L274" s="71" t="s">
        <v>282</v>
      </c>
      <c r="Z274" s="70">
        <f>IF(AQ274="5",BJ274,0)</f>
        <v>0</v>
      </c>
      <c r="AB274" s="70">
        <f>IF(AQ274="1",BH274,0)</f>
        <v>0</v>
      </c>
      <c r="AC274" s="70">
        <f>IF(AQ274="1",BI274,0)</f>
        <v>0</v>
      </c>
      <c r="AD274" s="70">
        <f>IF(AQ274="7",BH274,0)</f>
        <v>0</v>
      </c>
      <c r="AE274" s="70">
        <f>IF(AQ274="7",BI274,0)</f>
        <v>0</v>
      </c>
      <c r="AF274" s="70">
        <f>IF(AQ274="2",BH274,0)</f>
        <v>0</v>
      </c>
      <c r="AG274" s="70">
        <f>IF(AQ274="2",BI274,0)</f>
        <v>0</v>
      </c>
      <c r="AH274" s="70">
        <f>IF(AQ274="0",BJ274,0)</f>
        <v>0</v>
      </c>
      <c r="AI274" s="67" t="s">
        <v>193</v>
      </c>
      <c r="AJ274" s="70">
        <f>IF(AN274=0,K274,0)</f>
        <v>0</v>
      </c>
      <c r="AK274" s="70">
        <f>IF(AN274=15,K274,0)</f>
        <v>0</v>
      </c>
      <c r="AL274" s="70">
        <f>IF(AN274=21,K274,0)</f>
        <v>0</v>
      </c>
      <c r="AN274" s="70">
        <v>21</v>
      </c>
      <c r="AO274" s="70">
        <f>H274*0</f>
        <v>0</v>
      </c>
      <c r="AP274" s="70">
        <f>H274*(1-0)</f>
        <v>0</v>
      </c>
      <c r="AQ274" s="71" t="s">
        <v>106</v>
      </c>
      <c r="AV274" s="70">
        <f>AW274+AX274</f>
        <v>0</v>
      </c>
      <c r="AW274" s="70">
        <f>G274*AO274</f>
        <v>0</v>
      </c>
      <c r="AX274" s="70">
        <f>G274*AP274</f>
        <v>0</v>
      </c>
      <c r="AY274" s="71" t="s">
        <v>331</v>
      </c>
      <c r="AZ274" s="71" t="s">
        <v>576</v>
      </c>
      <c r="BA274" s="67" t="s">
        <v>577</v>
      </c>
      <c r="BC274" s="70">
        <f>AW274+AX274</f>
        <v>0</v>
      </c>
      <c r="BD274" s="70">
        <f>H274/(100-BE274)*100</f>
        <v>0</v>
      </c>
      <c r="BE274" s="70">
        <v>0</v>
      </c>
      <c r="BF274" s="70">
        <f>274</f>
        <v>274</v>
      </c>
      <c r="BH274" s="70">
        <f>G274*AO274</f>
        <v>0</v>
      </c>
      <c r="BI274" s="70">
        <f>G274*AP274</f>
        <v>0</v>
      </c>
      <c r="BJ274" s="70">
        <f>G274*H274</f>
        <v>0</v>
      </c>
    </row>
    <row r="275" spans="2:12" ht="25.35" customHeight="1">
      <c r="B275" s="75" t="s">
        <v>67</v>
      </c>
      <c r="C275" s="725" t="s">
        <v>579</v>
      </c>
      <c r="D275" s="726"/>
      <c r="E275" s="726"/>
      <c r="F275" s="726"/>
      <c r="G275" s="726"/>
      <c r="H275" s="726"/>
      <c r="I275" s="726"/>
      <c r="J275" s="726"/>
      <c r="K275" s="726"/>
      <c r="L275" s="726"/>
    </row>
    <row r="276" spans="1:62" ht="15">
      <c r="A276" s="69" t="s">
        <v>580</v>
      </c>
      <c r="B276" s="69" t="s">
        <v>335</v>
      </c>
      <c r="C276" s="696" t="s">
        <v>336</v>
      </c>
      <c r="D276" s="693"/>
      <c r="E276" s="693"/>
      <c r="F276" s="69" t="s">
        <v>337</v>
      </c>
      <c r="G276" s="70">
        <v>1080</v>
      </c>
      <c r="H276" s="580">
        <v>0</v>
      </c>
      <c r="I276" s="70">
        <f>G276*AO276</f>
        <v>0</v>
      </c>
      <c r="J276" s="70">
        <f>G276*AP276</f>
        <v>0</v>
      </c>
      <c r="K276" s="70">
        <f>G276*H276</f>
        <v>0</v>
      </c>
      <c r="L276" s="71"/>
      <c r="Z276" s="70">
        <f>IF(AQ276="5",BJ276,0)</f>
        <v>0</v>
      </c>
      <c r="AB276" s="70">
        <f>IF(AQ276="1",BH276,0)</f>
        <v>0</v>
      </c>
      <c r="AC276" s="70">
        <f>IF(AQ276="1",BI276,0)</f>
        <v>0</v>
      </c>
      <c r="AD276" s="70">
        <f>IF(AQ276="7",BH276,0)</f>
        <v>0</v>
      </c>
      <c r="AE276" s="70">
        <f>IF(AQ276="7",BI276,0)</f>
        <v>0</v>
      </c>
      <c r="AF276" s="70">
        <f>IF(AQ276="2",BH276,0)</f>
        <v>0</v>
      </c>
      <c r="AG276" s="70">
        <f>IF(AQ276="2",BI276,0)</f>
        <v>0</v>
      </c>
      <c r="AH276" s="70">
        <f>IF(AQ276="0",BJ276,0)</f>
        <v>0</v>
      </c>
      <c r="AI276" s="67" t="s">
        <v>193</v>
      </c>
      <c r="AJ276" s="70">
        <f>IF(AN276=0,K276,0)</f>
        <v>0</v>
      </c>
      <c r="AK276" s="70">
        <f>IF(AN276=15,K276,0)</f>
        <v>0</v>
      </c>
      <c r="AL276" s="70">
        <f>IF(AN276=21,K276,0)</f>
        <v>0</v>
      </c>
      <c r="AN276" s="70">
        <v>21</v>
      </c>
      <c r="AO276" s="70">
        <f>H276*0</f>
        <v>0</v>
      </c>
      <c r="AP276" s="70">
        <f>H276*(1-0)</f>
        <v>0</v>
      </c>
      <c r="AQ276" s="71" t="s">
        <v>124</v>
      </c>
      <c r="AV276" s="70">
        <f>AW276+AX276</f>
        <v>0</v>
      </c>
      <c r="AW276" s="70">
        <f>G276*AO276</f>
        <v>0</v>
      </c>
      <c r="AX276" s="70">
        <f>G276*AP276</f>
        <v>0</v>
      </c>
      <c r="AY276" s="71" t="s">
        <v>331</v>
      </c>
      <c r="AZ276" s="71" t="s">
        <v>576</v>
      </c>
      <c r="BA276" s="67" t="s">
        <v>577</v>
      </c>
      <c r="BC276" s="70">
        <f>AW276+AX276</f>
        <v>0</v>
      </c>
      <c r="BD276" s="70">
        <f>H276/(100-BE276)*100</f>
        <v>0</v>
      </c>
      <c r="BE276" s="70">
        <v>0</v>
      </c>
      <c r="BF276" s="70">
        <f>276</f>
        <v>276</v>
      </c>
      <c r="BH276" s="70">
        <f>G276*AO276</f>
        <v>0</v>
      </c>
      <c r="BI276" s="70">
        <f>G276*AP276</f>
        <v>0</v>
      </c>
      <c r="BJ276" s="70">
        <f>G276*H276</f>
        <v>0</v>
      </c>
    </row>
    <row r="277" spans="2:12" ht="38.7" customHeight="1">
      <c r="B277" s="75" t="s">
        <v>67</v>
      </c>
      <c r="C277" s="725" t="s">
        <v>581</v>
      </c>
      <c r="D277" s="726"/>
      <c r="E277" s="726"/>
      <c r="F277" s="726"/>
      <c r="G277" s="726"/>
      <c r="H277" s="726"/>
      <c r="I277" s="726"/>
      <c r="J277" s="726"/>
      <c r="K277" s="726"/>
      <c r="L277" s="726"/>
    </row>
    <row r="278" spans="1:62" ht="15">
      <c r="A278" s="69" t="s">
        <v>582</v>
      </c>
      <c r="B278" s="69" t="s">
        <v>425</v>
      </c>
      <c r="C278" s="696" t="s">
        <v>426</v>
      </c>
      <c r="D278" s="693"/>
      <c r="E278" s="693"/>
      <c r="F278" s="69" t="s">
        <v>109</v>
      </c>
      <c r="G278" s="70">
        <v>41</v>
      </c>
      <c r="H278" s="580">
        <v>0</v>
      </c>
      <c r="I278" s="70">
        <f>G278*AO278</f>
        <v>0</v>
      </c>
      <c r="J278" s="70">
        <f>G278*AP278</f>
        <v>0</v>
      </c>
      <c r="K278" s="70">
        <f>G278*H278</f>
        <v>0</v>
      </c>
      <c r="L278" s="71" t="s">
        <v>120</v>
      </c>
      <c r="Z278" s="70">
        <f>IF(AQ278="5",BJ278,0)</f>
        <v>0</v>
      </c>
      <c r="AB278" s="70">
        <f>IF(AQ278="1",BH278,0)</f>
        <v>0</v>
      </c>
      <c r="AC278" s="70">
        <f>IF(AQ278="1",BI278,0)</f>
        <v>0</v>
      </c>
      <c r="AD278" s="70">
        <f>IF(AQ278="7",BH278,0)</f>
        <v>0</v>
      </c>
      <c r="AE278" s="70">
        <f>IF(AQ278="7",BI278,0)</f>
        <v>0</v>
      </c>
      <c r="AF278" s="70">
        <f>IF(AQ278="2",BH278,0)</f>
        <v>0</v>
      </c>
      <c r="AG278" s="70">
        <f>IF(AQ278="2",BI278,0)</f>
        <v>0</v>
      </c>
      <c r="AH278" s="70">
        <f>IF(AQ278="0",BJ278,0)</f>
        <v>0</v>
      </c>
      <c r="AI278" s="67" t="s">
        <v>193</v>
      </c>
      <c r="AJ278" s="70">
        <f>IF(AN278=0,K278,0)</f>
        <v>0</v>
      </c>
      <c r="AK278" s="70">
        <f>IF(AN278=15,K278,0)</f>
        <v>0</v>
      </c>
      <c r="AL278" s="70">
        <f>IF(AN278=21,K278,0)</f>
        <v>0</v>
      </c>
      <c r="AN278" s="70">
        <v>21</v>
      </c>
      <c r="AO278" s="70">
        <f>H278*0.408292964244521</f>
        <v>0</v>
      </c>
      <c r="AP278" s="70">
        <f>H278*(1-0.408292964244521)</f>
        <v>0</v>
      </c>
      <c r="AQ278" s="71" t="s">
        <v>106</v>
      </c>
      <c r="AV278" s="70">
        <f>AW278+AX278</f>
        <v>0</v>
      </c>
      <c r="AW278" s="70">
        <f>G278*AO278</f>
        <v>0</v>
      </c>
      <c r="AX278" s="70">
        <f>G278*AP278</f>
        <v>0</v>
      </c>
      <c r="AY278" s="71" t="s">
        <v>331</v>
      </c>
      <c r="AZ278" s="71" t="s">
        <v>576</v>
      </c>
      <c r="BA278" s="67" t="s">
        <v>577</v>
      </c>
      <c r="BC278" s="70">
        <f>AW278+AX278</f>
        <v>0</v>
      </c>
      <c r="BD278" s="70">
        <f>H278/(100-BE278)*100</f>
        <v>0</v>
      </c>
      <c r="BE278" s="70">
        <v>0</v>
      </c>
      <c r="BF278" s="70">
        <f>278</f>
        <v>278</v>
      </c>
      <c r="BH278" s="70">
        <f>G278*AO278</f>
        <v>0</v>
      </c>
      <c r="BI278" s="70">
        <f>G278*AP278</f>
        <v>0</v>
      </c>
      <c r="BJ278" s="70">
        <f>G278*H278</f>
        <v>0</v>
      </c>
    </row>
    <row r="279" spans="1:47" ht="15">
      <c r="A279" s="88"/>
      <c r="B279" s="89" t="s">
        <v>345</v>
      </c>
      <c r="C279" s="710" t="s">
        <v>346</v>
      </c>
      <c r="D279" s="711"/>
      <c r="E279" s="711"/>
      <c r="F279" s="88" t="s">
        <v>70</v>
      </c>
      <c r="G279" s="88" t="s">
        <v>70</v>
      </c>
      <c r="H279" s="88" t="s">
        <v>70</v>
      </c>
      <c r="I279" s="90">
        <f>SUM(I280:I280)</f>
        <v>0</v>
      </c>
      <c r="J279" s="90">
        <f>SUM(J280:J280)</f>
        <v>0</v>
      </c>
      <c r="K279" s="90">
        <f>SUM(K280:K280)</f>
        <v>0</v>
      </c>
      <c r="L279" s="91"/>
      <c r="AI279" s="67" t="s">
        <v>193</v>
      </c>
      <c r="AS279" s="68">
        <f>SUM(AJ280:AJ280)</f>
        <v>0</v>
      </c>
      <c r="AT279" s="68">
        <f>SUM(AK280:AK280)</f>
        <v>0</v>
      </c>
      <c r="AU279" s="68">
        <f>SUM(AL280:AL280)</f>
        <v>0</v>
      </c>
    </row>
    <row r="280" spans="1:62" ht="15">
      <c r="A280" s="69" t="s">
        <v>583</v>
      </c>
      <c r="B280" s="69" t="s">
        <v>348</v>
      </c>
      <c r="C280" s="696" t="s">
        <v>349</v>
      </c>
      <c r="D280" s="693"/>
      <c r="E280" s="693"/>
      <c r="F280" s="69" t="s">
        <v>132</v>
      </c>
      <c r="G280" s="70">
        <v>99.2</v>
      </c>
      <c r="H280" s="580">
        <v>0</v>
      </c>
      <c r="I280" s="70">
        <f>G280*AO280</f>
        <v>0</v>
      </c>
      <c r="J280" s="70">
        <f>G280*AP280</f>
        <v>0</v>
      </c>
      <c r="K280" s="70">
        <f>G280*H280</f>
        <v>0</v>
      </c>
      <c r="L280" s="71" t="s">
        <v>282</v>
      </c>
      <c r="Z280" s="70">
        <f>IF(AQ280="5",BJ280,0)</f>
        <v>0</v>
      </c>
      <c r="AB280" s="70">
        <f>IF(AQ280="1",BH280,0)</f>
        <v>0</v>
      </c>
      <c r="AC280" s="70">
        <f>IF(AQ280="1",BI280,0)</f>
        <v>0</v>
      </c>
      <c r="AD280" s="70">
        <f>IF(AQ280="7",BH280,0)</f>
        <v>0</v>
      </c>
      <c r="AE280" s="70">
        <f>IF(AQ280="7",BI280,0)</f>
        <v>0</v>
      </c>
      <c r="AF280" s="70">
        <f>IF(AQ280="2",BH280,0)</f>
        <v>0</v>
      </c>
      <c r="AG280" s="70">
        <f>IF(AQ280="2",BI280,0)</f>
        <v>0</v>
      </c>
      <c r="AH280" s="70">
        <f>IF(AQ280="0",BJ280,0)</f>
        <v>0</v>
      </c>
      <c r="AI280" s="67" t="s">
        <v>193</v>
      </c>
      <c r="AJ280" s="70">
        <f>IF(AN280=0,K280,0)</f>
        <v>0</v>
      </c>
      <c r="AK280" s="70">
        <f>IF(AN280=15,K280,0)</f>
        <v>0</v>
      </c>
      <c r="AL280" s="70">
        <f>IF(AN280=21,K280,0)</f>
        <v>0</v>
      </c>
      <c r="AN280" s="70">
        <v>21</v>
      </c>
      <c r="AO280" s="70">
        <f>H280*0</f>
        <v>0</v>
      </c>
      <c r="AP280" s="70">
        <f>H280*(1-0)</f>
        <v>0</v>
      </c>
      <c r="AQ280" s="71" t="s">
        <v>124</v>
      </c>
      <c r="AV280" s="70">
        <f>AW280+AX280</f>
        <v>0</v>
      </c>
      <c r="AW280" s="70">
        <f>G280*AO280</f>
        <v>0</v>
      </c>
      <c r="AX280" s="70">
        <f>G280*AP280</f>
        <v>0</v>
      </c>
      <c r="AY280" s="71" t="s">
        <v>350</v>
      </c>
      <c r="AZ280" s="71" t="s">
        <v>584</v>
      </c>
      <c r="BA280" s="67" t="s">
        <v>577</v>
      </c>
      <c r="BC280" s="70">
        <f>AW280+AX280</f>
        <v>0</v>
      </c>
      <c r="BD280" s="70">
        <f>H280/(100-BE280)*100</f>
        <v>0</v>
      </c>
      <c r="BE280" s="70">
        <v>0</v>
      </c>
      <c r="BF280" s="70">
        <f>280</f>
        <v>280</v>
      </c>
      <c r="BH280" s="70">
        <f>G280*AO280</f>
        <v>0</v>
      </c>
      <c r="BI280" s="70">
        <f>G280*AP280</f>
        <v>0</v>
      </c>
      <c r="BJ280" s="70">
        <f>G280*H280</f>
        <v>0</v>
      </c>
    </row>
    <row r="281" spans="1:47" ht="15">
      <c r="A281" s="88"/>
      <c r="B281" s="89"/>
      <c r="C281" s="710" t="s">
        <v>52</v>
      </c>
      <c r="D281" s="711"/>
      <c r="E281" s="711"/>
      <c r="F281" s="88" t="s">
        <v>70</v>
      </c>
      <c r="G281" s="88" t="s">
        <v>70</v>
      </c>
      <c r="H281" s="88" t="s">
        <v>70</v>
      </c>
      <c r="I281" s="90">
        <f>SUM(I282:I286)</f>
        <v>0</v>
      </c>
      <c r="J281" s="90">
        <f>SUM(J282:J286)</f>
        <v>0</v>
      </c>
      <c r="K281" s="90">
        <f>SUM(K282:K286)</f>
        <v>0</v>
      </c>
      <c r="L281" s="91"/>
      <c r="AI281" s="67" t="s">
        <v>193</v>
      </c>
      <c r="AS281" s="68">
        <f>SUM(AJ282:AJ286)</f>
        <v>0</v>
      </c>
      <c r="AT281" s="68">
        <f>SUM(AK282:AK286)</f>
        <v>0</v>
      </c>
      <c r="AU281" s="68">
        <f>SUM(AL282:AL286)</f>
        <v>0</v>
      </c>
    </row>
    <row r="282" spans="1:62" ht="15">
      <c r="A282" s="69" t="s">
        <v>585</v>
      </c>
      <c r="B282" s="69" t="s">
        <v>353</v>
      </c>
      <c r="C282" s="696" t="s">
        <v>586</v>
      </c>
      <c r="D282" s="693"/>
      <c r="E282" s="693"/>
      <c r="F282" s="69" t="s">
        <v>132</v>
      </c>
      <c r="G282" s="70">
        <v>4.3</v>
      </c>
      <c r="H282" s="580">
        <v>0</v>
      </c>
      <c r="I282" s="70">
        <f>G282*AO282</f>
        <v>0</v>
      </c>
      <c r="J282" s="70">
        <f>G282*AP282</f>
        <v>0</v>
      </c>
      <c r="K282" s="70">
        <f>G282*H282</f>
        <v>0</v>
      </c>
      <c r="L282" s="71" t="s">
        <v>282</v>
      </c>
      <c r="Z282" s="70">
        <f>IF(AQ282="5",BJ282,0)</f>
        <v>0</v>
      </c>
      <c r="AB282" s="70">
        <f>IF(AQ282="1",BH282,0)</f>
        <v>0</v>
      </c>
      <c r="AC282" s="70">
        <f>IF(AQ282="1",BI282,0)</f>
        <v>0</v>
      </c>
      <c r="AD282" s="70">
        <f>IF(AQ282="7",BH282,0)</f>
        <v>0</v>
      </c>
      <c r="AE282" s="70">
        <f>IF(AQ282="7",BI282,0)</f>
        <v>0</v>
      </c>
      <c r="AF282" s="70">
        <f>IF(AQ282="2",BH282,0)</f>
        <v>0</v>
      </c>
      <c r="AG282" s="70">
        <f>IF(AQ282="2",BI282,0)</f>
        <v>0</v>
      </c>
      <c r="AH282" s="70">
        <f>IF(AQ282="0",BJ282,0)</f>
        <v>0</v>
      </c>
      <c r="AI282" s="67" t="s">
        <v>193</v>
      </c>
      <c r="AJ282" s="70">
        <f>IF(AN282=0,K282,0)</f>
        <v>0</v>
      </c>
      <c r="AK282" s="70">
        <f>IF(AN282=15,K282,0)</f>
        <v>0</v>
      </c>
      <c r="AL282" s="70">
        <f>IF(AN282=21,K282,0)</f>
        <v>0</v>
      </c>
      <c r="AN282" s="70">
        <v>21</v>
      </c>
      <c r="AO282" s="70">
        <f>H282*1</f>
        <v>0</v>
      </c>
      <c r="AP282" s="70">
        <f>H282*(1-1)</f>
        <v>0</v>
      </c>
      <c r="AQ282" s="71" t="s">
        <v>355</v>
      </c>
      <c r="AV282" s="70">
        <f>AW282+AX282</f>
        <v>0</v>
      </c>
      <c r="AW282" s="70">
        <f>G282*AO282</f>
        <v>0</v>
      </c>
      <c r="AX282" s="70">
        <f>G282*AP282</f>
        <v>0</v>
      </c>
      <c r="AY282" s="71" t="s">
        <v>356</v>
      </c>
      <c r="AZ282" s="71" t="s">
        <v>587</v>
      </c>
      <c r="BA282" s="67" t="s">
        <v>577</v>
      </c>
      <c r="BC282" s="70">
        <f>AW282+AX282</f>
        <v>0</v>
      </c>
      <c r="BD282" s="70">
        <f>H282/(100-BE282)*100</f>
        <v>0</v>
      </c>
      <c r="BE282" s="70">
        <v>0</v>
      </c>
      <c r="BF282" s="70">
        <f>282</f>
        <v>282</v>
      </c>
      <c r="BH282" s="70">
        <f>G282*AO282</f>
        <v>0</v>
      </c>
      <c r="BI282" s="70">
        <f>G282*AP282</f>
        <v>0</v>
      </c>
      <c r="BJ282" s="70">
        <f>G282*H282</f>
        <v>0</v>
      </c>
    </row>
    <row r="283" spans="2:12" ht="12.75" customHeight="1">
      <c r="B283" s="75" t="s">
        <v>67</v>
      </c>
      <c r="C283" s="725" t="s">
        <v>358</v>
      </c>
      <c r="D283" s="726"/>
      <c r="E283" s="726"/>
      <c r="F283" s="726"/>
      <c r="G283" s="726"/>
      <c r="H283" s="726"/>
      <c r="I283" s="726"/>
      <c r="J283" s="726"/>
      <c r="K283" s="726"/>
      <c r="L283" s="726"/>
    </row>
    <row r="284" spans="1:62" ht="15">
      <c r="A284" s="69" t="s">
        <v>588</v>
      </c>
      <c r="B284" s="69" t="s">
        <v>363</v>
      </c>
      <c r="C284" s="696" t="s">
        <v>589</v>
      </c>
      <c r="D284" s="693"/>
      <c r="E284" s="693"/>
      <c r="F284" s="69" t="s">
        <v>132</v>
      </c>
      <c r="G284" s="70">
        <v>73.8</v>
      </c>
      <c r="H284" s="580">
        <v>0</v>
      </c>
      <c r="I284" s="70">
        <f>G284*AO284</f>
        <v>0</v>
      </c>
      <c r="J284" s="70">
        <f>G284*AP284</f>
        <v>0</v>
      </c>
      <c r="K284" s="70">
        <f>G284*H284</f>
        <v>0</v>
      </c>
      <c r="L284" s="71" t="s">
        <v>120</v>
      </c>
      <c r="Z284" s="70">
        <f>IF(AQ284="5",BJ284,0)</f>
        <v>0</v>
      </c>
      <c r="AB284" s="70">
        <f>IF(AQ284="1",BH284,0)</f>
        <v>0</v>
      </c>
      <c r="AC284" s="70">
        <f>IF(AQ284="1",BI284,0)</f>
        <v>0</v>
      </c>
      <c r="AD284" s="70">
        <f>IF(AQ284="7",BH284,0)</f>
        <v>0</v>
      </c>
      <c r="AE284" s="70">
        <f>IF(AQ284="7",BI284,0)</f>
        <v>0</v>
      </c>
      <c r="AF284" s="70">
        <f>IF(AQ284="2",BH284,0)</f>
        <v>0</v>
      </c>
      <c r="AG284" s="70">
        <f>IF(AQ284="2",BI284,0)</f>
        <v>0</v>
      </c>
      <c r="AH284" s="70">
        <f>IF(AQ284="0",BJ284,0)</f>
        <v>0</v>
      </c>
      <c r="AI284" s="67" t="s">
        <v>193</v>
      </c>
      <c r="AJ284" s="70">
        <f>IF(AN284=0,K284,0)</f>
        <v>0</v>
      </c>
      <c r="AK284" s="70">
        <f>IF(AN284=15,K284,0)</f>
        <v>0</v>
      </c>
      <c r="AL284" s="70">
        <f>IF(AN284=21,K284,0)</f>
        <v>0</v>
      </c>
      <c r="AN284" s="70">
        <v>21</v>
      </c>
      <c r="AO284" s="70">
        <f>H284*1</f>
        <v>0</v>
      </c>
      <c r="AP284" s="70">
        <f>H284*(1-1)</f>
        <v>0</v>
      </c>
      <c r="AQ284" s="71" t="s">
        <v>355</v>
      </c>
      <c r="AV284" s="70">
        <f>AW284+AX284</f>
        <v>0</v>
      </c>
      <c r="AW284" s="70">
        <f>G284*AO284</f>
        <v>0</v>
      </c>
      <c r="AX284" s="70">
        <f>G284*AP284</f>
        <v>0</v>
      </c>
      <c r="AY284" s="71" t="s">
        <v>356</v>
      </c>
      <c r="AZ284" s="71" t="s">
        <v>587</v>
      </c>
      <c r="BA284" s="67" t="s">
        <v>577</v>
      </c>
      <c r="BC284" s="70">
        <f>AW284+AX284</f>
        <v>0</v>
      </c>
      <c r="BD284" s="70">
        <f>H284/(100-BE284)*100</f>
        <v>0</v>
      </c>
      <c r="BE284" s="70">
        <v>0</v>
      </c>
      <c r="BF284" s="70">
        <f>284</f>
        <v>284</v>
      </c>
      <c r="BH284" s="70">
        <f>G284*AO284</f>
        <v>0</v>
      </c>
      <c r="BI284" s="70">
        <f>G284*AP284</f>
        <v>0</v>
      </c>
      <c r="BJ284" s="70">
        <f>G284*H284</f>
        <v>0</v>
      </c>
    </row>
    <row r="285" spans="2:12" ht="12.75" customHeight="1">
      <c r="B285" s="75" t="s">
        <v>67</v>
      </c>
      <c r="C285" s="725" t="s">
        <v>358</v>
      </c>
      <c r="D285" s="726"/>
      <c r="E285" s="726"/>
      <c r="F285" s="726"/>
      <c r="G285" s="726"/>
      <c r="H285" s="726"/>
      <c r="I285" s="726"/>
      <c r="J285" s="726"/>
      <c r="K285" s="726"/>
      <c r="L285" s="726"/>
    </row>
    <row r="286" spans="1:62" ht="15">
      <c r="A286" s="72" t="s">
        <v>590</v>
      </c>
      <c r="B286" s="72" t="s">
        <v>591</v>
      </c>
      <c r="C286" s="712" t="s">
        <v>592</v>
      </c>
      <c r="D286" s="693"/>
      <c r="E286" s="713"/>
      <c r="F286" s="72" t="s">
        <v>132</v>
      </c>
      <c r="G286" s="73">
        <v>8.2</v>
      </c>
      <c r="H286" s="581">
        <v>0</v>
      </c>
      <c r="I286" s="73">
        <f>G286*AO286</f>
        <v>0</v>
      </c>
      <c r="J286" s="73">
        <f>G286*AP286</f>
        <v>0</v>
      </c>
      <c r="K286" s="73">
        <f>G286*H286</f>
        <v>0</v>
      </c>
      <c r="L286" s="74" t="s">
        <v>120</v>
      </c>
      <c r="Z286" s="70">
        <f>IF(AQ286="5",BJ286,0)</f>
        <v>0</v>
      </c>
      <c r="AB286" s="70">
        <f>IF(AQ286="1",BH286,0)</f>
        <v>0</v>
      </c>
      <c r="AC286" s="70">
        <f>IF(AQ286="1",BI286,0)</f>
        <v>0</v>
      </c>
      <c r="AD286" s="70">
        <f>IF(AQ286="7",BH286,0)</f>
        <v>0</v>
      </c>
      <c r="AE286" s="70">
        <f>IF(AQ286="7",BI286,0)</f>
        <v>0</v>
      </c>
      <c r="AF286" s="70">
        <f>IF(AQ286="2",BH286,0)</f>
        <v>0</v>
      </c>
      <c r="AG286" s="70">
        <f>IF(AQ286="2",BI286,0)</f>
        <v>0</v>
      </c>
      <c r="AH286" s="70">
        <f>IF(AQ286="0",BJ286,0)</f>
        <v>0</v>
      </c>
      <c r="AI286" s="67" t="s">
        <v>193</v>
      </c>
      <c r="AJ286" s="70">
        <f>IF(AN286=0,K286,0)</f>
        <v>0</v>
      </c>
      <c r="AK286" s="70">
        <f>IF(AN286=15,K286,0)</f>
        <v>0</v>
      </c>
      <c r="AL286" s="70">
        <f>IF(AN286=21,K286,0)</f>
        <v>0</v>
      </c>
      <c r="AN286" s="70">
        <v>21</v>
      </c>
      <c r="AO286" s="70">
        <f>H286*1</f>
        <v>0</v>
      </c>
      <c r="AP286" s="70">
        <f>H286*(1-1)</f>
        <v>0</v>
      </c>
      <c r="AQ286" s="71" t="s">
        <v>355</v>
      </c>
      <c r="AV286" s="70">
        <f>AW286+AX286</f>
        <v>0</v>
      </c>
      <c r="AW286" s="70">
        <f>G286*AO286</f>
        <v>0</v>
      </c>
      <c r="AX286" s="70">
        <f>G286*AP286</f>
        <v>0</v>
      </c>
      <c r="AY286" s="71" t="s">
        <v>356</v>
      </c>
      <c r="AZ286" s="71" t="s">
        <v>587</v>
      </c>
      <c r="BA286" s="67" t="s">
        <v>577</v>
      </c>
      <c r="BC286" s="70">
        <f>AW286+AX286</f>
        <v>0</v>
      </c>
      <c r="BD286" s="70">
        <f>H286/(100-BE286)*100</f>
        <v>0</v>
      </c>
      <c r="BE286" s="70">
        <v>0</v>
      </c>
      <c r="BF286" s="70">
        <f>286</f>
        <v>286</v>
      </c>
      <c r="BH286" s="70">
        <f>G286*AO286</f>
        <v>0</v>
      </c>
      <c r="BI286" s="70">
        <f>G286*AP286</f>
        <v>0</v>
      </c>
      <c r="BJ286" s="70">
        <f>G286*H286</f>
        <v>0</v>
      </c>
    </row>
    <row r="287" spans="2:12" ht="12.75" customHeight="1">
      <c r="B287" s="75" t="s">
        <v>67</v>
      </c>
      <c r="C287" s="725" t="s">
        <v>593</v>
      </c>
      <c r="D287" s="726"/>
      <c r="E287" s="726"/>
      <c r="F287" s="726"/>
      <c r="G287" s="726"/>
      <c r="H287" s="726"/>
      <c r="I287" s="726"/>
      <c r="J287" s="726"/>
      <c r="K287" s="726"/>
      <c r="L287" s="726"/>
    </row>
    <row r="288" spans="1:12" ht="15">
      <c r="A288" s="48"/>
      <c r="B288" s="49"/>
      <c r="C288" s="727" t="s">
        <v>594</v>
      </c>
      <c r="D288" s="728"/>
      <c r="E288" s="728"/>
      <c r="F288" s="48" t="s">
        <v>70</v>
      </c>
      <c r="G288" s="48" t="s">
        <v>70</v>
      </c>
      <c r="H288" s="48" t="s">
        <v>70</v>
      </c>
      <c r="I288" s="50">
        <f>I289+I295+I303+I305</f>
        <v>0</v>
      </c>
      <c r="J288" s="50">
        <f>J289+J295+J303+J305</f>
        <v>0</v>
      </c>
      <c r="K288" s="50">
        <f>K289+K295+K303+K305</f>
        <v>0</v>
      </c>
      <c r="L288" s="51"/>
    </row>
    <row r="289" spans="1:47" ht="15">
      <c r="A289" s="88"/>
      <c r="B289" s="89" t="s">
        <v>169</v>
      </c>
      <c r="C289" s="710" t="s">
        <v>278</v>
      </c>
      <c r="D289" s="711"/>
      <c r="E289" s="711"/>
      <c r="F289" s="88" t="s">
        <v>70</v>
      </c>
      <c r="G289" s="88" t="s">
        <v>70</v>
      </c>
      <c r="H289" s="88" t="s">
        <v>70</v>
      </c>
      <c r="I289" s="90">
        <f>SUM(I290:I294)</f>
        <v>0</v>
      </c>
      <c r="J289" s="90">
        <f>SUM(J290:J294)</f>
        <v>0</v>
      </c>
      <c r="K289" s="90">
        <f>SUM(K290:K294)</f>
        <v>0</v>
      </c>
      <c r="L289" s="91"/>
      <c r="AI289" s="67" t="s">
        <v>198</v>
      </c>
      <c r="AS289" s="68">
        <f>SUM(AJ290:AJ294)</f>
        <v>0</v>
      </c>
      <c r="AT289" s="68">
        <f>SUM(AK290:AK294)</f>
        <v>0</v>
      </c>
      <c r="AU289" s="68">
        <f>SUM(AL290:AL294)</f>
        <v>0</v>
      </c>
    </row>
    <row r="290" spans="1:62" ht="15">
      <c r="A290" s="69" t="s">
        <v>595</v>
      </c>
      <c r="B290" s="69" t="s">
        <v>280</v>
      </c>
      <c r="C290" s="696" t="s">
        <v>596</v>
      </c>
      <c r="D290" s="693"/>
      <c r="E290" s="693"/>
      <c r="F290" s="69" t="s">
        <v>253</v>
      </c>
      <c r="G290" s="70">
        <v>9.4</v>
      </c>
      <c r="H290" s="580">
        <v>0</v>
      </c>
      <c r="I290" s="70">
        <f>G290*AO290</f>
        <v>0</v>
      </c>
      <c r="J290" s="70">
        <f>G290*AP290</f>
        <v>0</v>
      </c>
      <c r="K290" s="70">
        <f>G290*H290</f>
        <v>0</v>
      </c>
      <c r="L290" s="71" t="s">
        <v>282</v>
      </c>
      <c r="Z290" s="70">
        <f>IF(AQ290="5",BJ290,0)</f>
        <v>0</v>
      </c>
      <c r="AB290" s="70">
        <f>IF(AQ290="1",BH290,0)</f>
        <v>0</v>
      </c>
      <c r="AC290" s="70">
        <f>IF(AQ290="1",BI290,0)</f>
        <v>0</v>
      </c>
      <c r="AD290" s="70">
        <f>IF(AQ290="7",BH290,0)</f>
        <v>0</v>
      </c>
      <c r="AE290" s="70">
        <f>IF(AQ290="7",BI290,0)</f>
        <v>0</v>
      </c>
      <c r="AF290" s="70">
        <f>IF(AQ290="2",BH290,0)</f>
        <v>0</v>
      </c>
      <c r="AG290" s="70">
        <f>IF(AQ290="2",BI290,0)</f>
        <v>0</v>
      </c>
      <c r="AH290" s="70">
        <f>IF(AQ290="0",BJ290,0)</f>
        <v>0</v>
      </c>
      <c r="AI290" s="67" t="s">
        <v>198</v>
      </c>
      <c r="AJ290" s="70">
        <f>IF(AN290=0,K290,0)</f>
        <v>0</v>
      </c>
      <c r="AK290" s="70">
        <f>IF(AN290=15,K290,0)</f>
        <v>0</v>
      </c>
      <c r="AL290" s="70">
        <f>IF(AN290=21,K290,0)</f>
        <v>0</v>
      </c>
      <c r="AN290" s="70">
        <v>21</v>
      </c>
      <c r="AO290" s="70">
        <f>H290*0</f>
        <v>0</v>
      </c>
      <c r="AP290" s="70">
        <f>H290*(1-0)</f>
        <v>0</v>
      </c>
      <c r="AQ290" s="71" t="s">
        <v>106</v>
      </c>
      <c r="AV290" s="70">
        <f>AW290+AX290</f>
        <v>0</v>
      </c>
      <c r="AW290" s="70">
        <f>G290*AO290</f>
        <v>0</v>
      </c>
      <c r="AX290" s="70">
        <f>G290*AP290</f>
        <v>0</v>
      </c>
      <c r="AY290" s="71" t="s">
        <v>283</v>
      </c>
      <c r="AZ290" s="71" t="s">
        <v>597</v>
      </c>
      <c r="BA290" s="67" t="s">
        <v>598</v>
      </c>
      <c r="BC290" s="70">
        <f>AW290+AX290</f>
        <v>0</v>
      </c>
      <c r="BD290" s="70">
        <f>H290/(100-BE290)*100</f>
        <v>0</v>
      </c>
      <c r="BE290" s="70">
        <v>0</v>
      </c>
      <c r="BF290" s="70">
        <f>290</f>
        <v>290</v>
      </c>
      <c r="BH290" s="70">
        <f>G290*AO290</f>
        <v>0</v>
      </c>
      <c r="BI290" s="70">
        <f>G290*AP290</f>
        <v>0</v>
      </c>
      <c r="BJ290" s="70">
        <f>G290*H290</f>
        <v>0</v>
      </c>
    </row>
    <row r="291" spans="2:12" ht="12.75" customHeight="1">
      <c r="B291" s="75" t="s">
        <v>67</v>
      </c>
      <c r="C291" s="725" t="s">
        <v>599</v>
      </c>
      <c r="D291" s="726"/>
      <c r="E291" s="726"/>
      <c r="F291" s="726"/>
      <c r="G291" s="726"/>
      <c r="H291" s="726"/>
      <c r="I291" s="726"/>
      <c r="J291" s="726"/>
      <c r="K291" s="726"/>
      <c r="L291" s="726"/>
    </row>
    <row r="292" spans="1:62" ht="15">
      <c r="A292" s="69" t="s">
        <v>600</v>
      </c>
      <c r="B292" s="69" t="s">
        <v>322</v>
      </c>
      <c r="C292" s="696" t="s">
        <v>601</v>
      </c>
      <c r="D292" s="693"/>
      <c r="E292" s="693"/>
      <c r="F292" s="69" t="s">
        <v>253</v>
      </c>
      <c r="G292" s="70">
        <v>11.5</v>
      </c>
      <c r="H292" s="580">
        <v>0</v>
      </c>
      <c r="I292" s="70">
        <f>G292*AO292</f>
        <v>0</v>
      </c>
      <c r="J292" s="70">
        <f>G292*AP292</f>
        <v>0</v>
      </c>
      <c r="K292" s="70">
        <f>G292*H292</f>
        <v>0</v>
      </c>
      <c r="L292" s="71" t="s">
        <v>120</v>
      </c>
      <c r="Z292" s="70">
        <f>IF(AQ292="5",BJ292,0)</f>
        <v>0</v>
      </c>
      <c r="AB292" s="70">
        <f>IF(AQ292="1",BH292,0)</f>
        <v>0</v>
      </c>
      <c r="AC292" s="70">
        <f>IF(AQ292="1",BI292,0)</f>
        <v>0</v>
      </c>
      <c r="AD292" s="70">
        <f>IF(AQ292="7",BH292,0)</f>
        <v>0</v>
      </c>
      <c r="AE292" s="70">
        <f>IF(AQ292="7",BI292,0)</f>
        <v>0</v>
      </c>
      <c r="AF292" s="70">
        <f>IF(AQ292="2",BH292,0)</f>
        <v>0</v>
      </c>
      <c r="AG292" s="70">
        <f>IF(AQ292="2",BI292,0)</f>
        <v>0</v>
      </c>
      <c r="AH292" s="70">
        <f>IF(AQ292="0",BJ292,0)</f>
        <v>0</v>
      </c>
      <c r="AI292" s="67" t="s">
        <v>198</v>
      </c>
      <c r="AJ292" s="70">
        <f>IF(AN292=0,K292,0)</f>
        <v>0</v>
      </c>
      <c r="AK292" s="70">
        <f>IF(AN292=15,K292,0)</f>
        <v>0</v>
      </c>
      <c r="AL292" s="70">
        <f>IF(AN292=21,K292,0)</f>
        <v>0</v>
      </c>
      <c r="AN292" s="70">
        <v>21</v>
      </c>
      <c r="AO292" s="70">
        <f>H292*0</f>
        <v>0</v>
      </c>
      <c r="AP292" s="70">
        <f>H292*(1-0)</f>
        <v>0</v>
      </c>
      <c r="AQ292" s="71" t="s">
        <v>106</v>
      </c>
      <c r="AV292" s="70">
        <f>AW292+AX292</f>
        <v>0</v>
      </c>
      <c r="AW292" s="70">
        <f>G292*AO292</f>
        <v>0</v>
      </c>
      <c r="AX292" s="70">
        <f>G292*AP292</f>
        <v>0</v>
      </c>
      <c r="AY292" s="71" t="s">
        <v>283</v>
      </c>
      <c r="AZ292" s="71" t="s">
        <v>597</v>
      </c>
      <c r="BA292" s="67" t="s">
        <v>598</v>
      </c>
      <c r="BC292" s="70">
        <f>AW292+AX292</f>
        <v>0</v>
      </c>
      <c r="BD292" s="70">
        <f>H292/(100-BE292)*100</f>
        <v>0</v>
      </c>
      <c r="BE292" s="70">
        <v>0</v>
      </c>
      <c r="BF292" s="70">
        <f>292</f>
        <v>292</v>
      </c>
      <c r="BH292" s="70">
        <f>G292*AO292</f>
        <v>0</v>
      </c>
      <c r="BI292" s="70">
        <f>G292*AP292</f>
        <v>0</v>
      </c>
      <c r="BJ292" s="70">
        <f>G292*H292</f>
        <v>0</v>
      </c>
    </row>
    <row r="293" spans="1:62" ht="15">
      <c r="A293" s="69" t="s">
        <v>602</v>
      </c>
      <c r="B293" s="69" t="s">
        <v>325</v>
      </c>
      <c r="C293" s="696" t="s">
        <v>326</v>
      </c>
      <c r="D293" s="693"/>
      <c r="E293" s="693"/>
      <c r="F293" s="69" t="s">
        <v>253</v>
      </c>
      <c r="G293" s="70">
        <v>11.5</v>
      </c>
      <c r="H293" s="580">
        <v>0</v>
      </c>
      <c r="I293" s="70">
        <f>G293*AO293</f>
        <v>0</v>
      </c>
      <c r="J293" s="70">
        <f>G293*AP293</f>
        <v>0</v>
      </c>
      <c r="K293" s="70">
        <f>G293*H293</f>
        <v>0</v>
      </c>
      <c r="L293" s="71" t="s">
        <v>282</v>
      </c>
      <c r="Z293" s="70">
        <f>IF(AQ293="5",BJ293,0)</f>
        <v>0</v>
      </c>
      <c r="AB293" s="70">
        <f>IF(AQ293="1",BH293,0)</f>
        <v>0</v>
      </c>
      <c r="AC293" s="70">
        <f>IF(AQ293="1",BI293,0)</f>
        <v>0</v>
      </c>
      <c r="AD293" s="70">
        <f>IF(AQ293="7",BH293,0)</f>
        <v>0</v>
      </c>
      <c r="AE293" s="70">
        <f>IF(AQ293="7",BI293,0)</f>
        <v>0</v>
      </c>
      <c r="AF293" s="70">
        <f>IF(AQ293="2",BH293,0)</f>
        <v>0</v>
      </c>
      <c r="AG293" s="70">
        <f>IF(AQ293="2",BI293,0)</f>
        <v>0</v>
      </c>
      <c r="AH293" s="70">
        <f>IF(AQ293="0",BJ293,0)</f>
        <v>0</v>
      </c>
      <c r="AI293" s="67" t="s">
        <v>198</v>
      </c>
      <c r="AJ293" s="70">
        <f>IF(AN293=0,K293,0)</f>
        <v>0</v>
      </c>
      <c r="AK293" s="70">
        <f>IF(AN293=15,K293,0)</f>
        <v>0</v>
      </c>
      <c r="AL293" s="70">
        <f>IF(AN293=21,K293,0)</f>
        <v>0</v>
      </c>
      <c r="AN293" s="70">
        <v>21</v>
      </c>
      <c r="AO293" s="70">
        <f>H293*0</f>
        <v>0</v>
      </c>
      <c r="AP293" s="70">
        <f>H293*(1-0)</f>
        <v>0</v>
      </c>
      <c r="AQ293" s="71" t="s">
        <v>106</v>
      </c>
      <c r="AV293" s="70">
        <f>AW293+AX293</f>
        <v>0</v>
      </c>
      <c r="AW293" s="70">
        <f>G293*AO293</f>
        <v>0</v>
      </c>
      <c r="AX293" s="70">
        <f>G293*AP293</f>
        <v>0</v>
      </c>
      <c r="AY293" s="71" t="s">
        <v>283</v>
      </c>
      <c r="AZ293" s="71" t="s">
        <v>597</v>
      </c>
      <c r="BA293" s="67" t="s">
        <v>598</v>
      </c>
      <c r="BC293" s="70">
        <f>AW293+AX293</f>
        <v>0</v>
      </c>
      <c r="BD293" s="70">
        <f>H293/(100-BE293)*100</f>
        <v>0</v>
      </c>
      <c r="BE293" s="70">
        <v>0</v>
      </c>
      <c r="BF293" s="70">
        <f>293</f>
        <v>293</v>
      </c>
      <c r="BH293" s="70">
        <f>G293*AO293</f>
        <v>0</v>
      </c>
      <c r="BI293" s="70">
        <f>G293*AP293</f>
        <v>0</v>
      </c>
      <c r="BJ293" s="70">
        <f>G293*H293</f>
        <v>0</v>
      </c>
    </row>
    <row r="294" spans="1:62" ht="15">
      <c r="A294" s="69" t="s">
        <v>603</v>
      </c>
      <c r="B294" s="69" t="s">
        <v>184</v>
      </c>
      <c r="C294" s="696" t="s">
        <v>604</v>
      </c>
      <c r="D294" s="693"/>
      <c r="E294" s="693"/>
      <c r="F294" s="69" t="s">
        <v>132</v>
      </c>
      <c r="G294" s="70">
        <v>62.3</v>
      </c>
      <c r="H294" s="580">
        <v>0</v>
      </c>
      <c r="I294" s="70">
        <f>G294*AO294</f>
        <v>0</v>
      </c>
      <c r="J294" s="70">
        <f>G294*AP294</f>
        <v>0</v>
      </c>
      <c r="K294" s="70">
        <f>G294*H294</f>
        <v>0</v>
      </c>
      <c r="L294" s="71" t="s">
        <v>120</v>
      </c>
      <c r="Z294" s="70">
        <f>IF(AQ294="5",BJ294,0)</f>
        <v>0</v>
      </c>
      <c r="AB294" s="70">
        <f>IF(AQ294="1",BH294,0)</f>
        <v>0</v>
      </c>
      <c r="AC294" s="70">
        <f>IF(AQ294="1",BI294,0)</f>
        <v>0</v>
      </c>
      <c r="AD294" s="70">
        <f>IF(AQ294="7",BH294,0)</f>
        <v>0</v>
      </c>
      <c r="AE294" s="70">
        <f>IF(AQ294="7",BI294,0)</f>
        <v>0</v>
      </c>
      <c r="AF294" s="70">
        <f>IF(AQ294="2",BH294,0)</f>
        <v>0</v>
      </c>
      <c r="AG294" s="70">
        <f>IF(AQ294="2",BI294,0)</f>
        <v>0</v>
      </c>
      <c r="AH294" s="70">
        <f>IF(AQ294="0",BJ294,0)</f>
        <v>0</v>
      </c>
      <c r="AI294" s="67" t="s">
        <v>198</v>
      </c>
      <c r="AJ294" s="70">
        <f>IF(AN294=0,K294,0)</f>
        <v>0</v>
      </c>
      <c r="AK294" s="70">
        <f>IF(AN294=15,K294,0)</f>
        <v>0</v>
      </c>
      <c r="AL294" s="70">
        <f>IF(AN294=21,K294,0)</f>
        <v>0</v>
      </c>
      <c r="AN294" s="70">
        <v>21</v>
      </c>
      <c r="AO294" s="70">
        <f>H294*0.0764238775915643</f>
        <v>0</v>
      </c>
      <c r="AP294" s="70">
        <f>H294*(1-0.0764238775915643)</f>
        <v>0</v>
      </c>
      <c r="AQ294" s="71" t="s">
        <v>124</v>
      </c>
      <c r="AV294" s="70">
        <f>AW294+AX294</f>
        <v>0</v>
      </c>
      <c r="AW294" s="70">
        <f>G294*AO294</f>
        <v>0</v>
      </c>
      <c r="AX294" s="70">
        <f>G294*AP294</f>
        <v>0</v>
      </c>
      <c r="AY294" s="71" t="s">
        <v>283</v>
      </c>
      <c r="AZ294" s="71" t="s">
        <v>597</v>
      </c>
      <c r="BA294" s="67" t="s">
        <v>598</v>
      </c>
      <c r="BC294" s="70">
        <f>AW294+AX294</f>
        <v>0</v>
      </c>
      <c r="BD294" s="70">
        <f>H294/(100-BE294)*100</f>
        <v>0</v>
      </c>
      <c r="BE294" s="70">
        <v>0</v>
      </c>
      <c r="BF294" s="70">
        <f>294</f>
        <v>294</v>
      </c>
      <c r="BH294" s="70">
        <f>G294*AO294</f>
        <v>0</v>
      </c>
      <c r="BI294" s="70">
        <f>G294*AP294</f>
        <v>0</v>
      </c>
      <c r="BJ294" s="70">
        <f>G294*H294</f>
        <v>0</v>
      </c>
    </row>
    <row r="295" spans="1:47" ht="15">
      <c r="A295" s="88"/>
      <c r="B295" s="89" t="s">
        <v>321</v>
      </c>
      <c r="C295" s="710" t="s">
        <v>605</v>
      </c>
      <c r="D295" s="711"/>
      <c r="E295" s="711"/>
      <c r="F295" s="88" t="s">
        <v>70</v>
      </c>
      <c r="G295" s="88" t="s">
        <v>70</v>
      </c>
      <c r="H295" s="88" t="s">
        <v>70</v>
      </c>
      <c r="I295" s="90">
        <f>SUM(I296:I301)</f>
        <v>0</v>
      </c>
      <c r="J295" s="90">
        <f>SUM(J296:J301)</f>
        <v>0</v>
      </c>
      <c r="K295" s="90">
        <f>SUM(K296:K301)</f>
        <v>0</v>
      </c>
      <c r="L295" s="91"/>
      <c r="AI295" s="67" t="s">
        <v>198</v>
      </c>
      <c r="AS295" s="68">
        <f>SUM(AJ296:AJ301)</f>
        <v>0</v>
      </c>
      <c r="AT295" s="68">
        <f>SUM(AK296:AK301)</f>
        <v>0</v>
      </c>
      <c r="AU295" s="68">
        <f>SUM(AL296:AL301)</f>
        <v>0</v>
      </c>
    </row>
    <row r="296" spans="1:62" ht="15">
      <c r="A296" s="69" t="s">
        <v>606</v>
      </c>
      <c r="B296" s="69" t="s">
        <v>318</v>
      </c>
      <c r="C296" s="696" t="s">
        <v>319</v>
      </c>
      <c r="D296" s="693"/>
      <c r="E296" s="693"/>
      <c r="F296" s="69" t="s">
        <v>109</v>
      </c>
      <c r="G296" s="70">
        <v>311.4</v>
      </c>
      <c r="H296" s="580">
        <v>0</v>
      </c>
      <c r="I296" s="70">
        <f>G296*AO296</f>
        <v>0</v>
      </c>
      <c r="J296" s="70">
        <f>G296*AP296</f>
        <v>0</v>
      </c>
      <c r="K296" s="70">
        <f>G296*H296</f>
        <v>0</v>
      </c>
      <c r="L296" s="71" t="s">
        <v>282</v>
      </c>
      <c r="Z296" s="70">
        <f>IF(AQ296="5",BJ296,0)</f>
        <v>0</v>
      </c>
      <c r="AB296" s="70">
        <f>IF(AQ296="1",BH296,0)</f>
        <v>0</v>
      </c>
      <c r="AC296" s="70">
        <f>IF(AQ296="1",BI296,0)</f>
        <v>0</v>
      </c>
      <c r="AD296" s="70">
        <f>IF(AQ296="7",BH296,0)</f>
        <v>0</v>
      </c>
      <c r="AE296" s="70">
        <f>IF(AQ296="7",BI296,0)</f>
        <v>0</v>
      </c>
      <c r="AF296" s="70">
        <f>IF(AQ296="2",BH296,0)</f>
        <v>0</v>
      </c>
      <c r="AG296" s="70">
        <f>IF(AQ296="2",BI296,0)</f>
        <v>0</v>
      </c>
      <c r="AH296" s="70">
        <f>IF(AQ296="0",BJ296,0)</f>
        <v>0</v>
      </c>
      <c r="AI296" s="67" t="s">
        <v>198</v>
      </c>
      <c r="AJ296" s="70">
        <f>IF(AN296=0,K296,0)</f>
        <v>0</v>
      </c>
      <c r="AK296" s="70">
        <f>IF(AN296=15,K296,0)</f>
        <v>0</v>
      </c>
      <c r="AL296" s="70">
        <f>IF(AN296=21,K296,0)</f>
        <v>0</v>
      </c>
      <c r="AN296" s="70">
        <v>21</v>
      </c>
      <c r="AO296" s="70">
        <f>H296*0</f>
        <v>0</v>
      </c>
      <c r="AP296" s="70">
        <f>H296*(1-0)</f>
        <v>0</v>
      </c>
      <c r="AQ296" s="71" t="s">
        <v>106</v>
      </c>
      <c r="AV296" s="70">
        <f>AW296+AX296</f>
        <v>0</v>
      </c>
      <c r="AW296" s="70">
        <f>G296*AO296</f>
        <v>0</v>
      </c>
      <c r="AX296" s="70">
        <f>G296*AP296</f>
        <v>0</v>
      </c>
      <c r="AY296" s="71" t="s">
        <v>607</v>
      </c>
      <c r="AZ296" s="71" t="s">
        <v>608</v>
      </c>
      <c r="BA296" s="67" t="s">
        <v>598</v>
      </c>
      <c r="BC296" s="70">
        <f>AW296+AX296</f>
        <v>0</v>
      </c>
      <c r="BD296" s="70">
        <f>H296/(100-BE296)*100</f>
        <v>0</v>
      </c>
      <c r="BE296" s="70">
        <v>0</v>
      </c>
      <c r="BF296" s="70">
        <f>296</f>
        <v>296</v>
      </c>
      <c r="BH296" s="70">
        <f>G296*AO296</f>
        <v>0</v>
      </c>
      <c r="BI296" s="70">
        <f>G296*AP296</f>
        <v>0</v>
      </c>
      <c r="BJ296" s="70">
        <f>G296*H296</f>
        <v>0</v>
      </c>
    </row>
    <row r="297" spans="1:62" ht="15">
      <c r="A297" s="69" t="s">
        <v>609</v>
      </c>
      <c r="B297" s="69" t="s">
        <v>329</v>
      </c>
      <c r="C297" s="696" t="s">
        <v>330</v>
      </c>
      <c r="D297" s="693"/>
      <c r="E297" s="693"/>
      <c r="F297" s="69" t="s">
        <v>253</v>
      </c>
      <c r="G297" s="70">
        <v>65.4</v>
      </c>
      <c r="H297" s="580">
        <v>0</v>
      </c>
      <c r="I297" s="70">
        <f>G297*AO297</f>
        <v>0</v>
      </c>
      <c r="J297" s="70">
        <f>G297*AP297</f>
        <v>0</v>
      </c>
      <c r="K297" s="70">
        <f>G297*H297</f>
        <v>0</v>
      </c>
      <c r="L297" s="71" t="s">
        <v>282</v>
      </c>
      <c r="Z297" s="70">
        <f>IF(AQ297="5",BJ297,0)</f>
        <v>0</v>
      </c>
      <c r="AB297" s="70">
        <f>IF(AQ297="1",BH297,0)</f>
        <v>0</v>
      </c>
      <c r="AC297" s="70">
        <f>IF(AQ297="1",BI297,0)</f>
        <v>0</v>
      </c>
      <c r="AD297" s="70">
        <f>IF(AQ297="7",BH297,0)</f>
        <v>0</v>
      </c>
      <c r="AE297" s="70">
        <f>IF(AQ297="7",BI297,0)</f>
        <v>0</v>
      </c>
      <c r="AF297" s="70">
        <f>IF(AQ297="2",BH297,0)</f>
        <v>0</v>
      </c>
      <c r="AG297" s="70">
        <f>IF(AQ297="2",BI297,0)</f>
        <v>0</v>
      </c>
      <c r="AH297" s="70">
        <f>IF(AQ297="0",BJ297,0)</f>
        <v>0</v>
      </c>
      <c r="AI297" s="67" t="s">
        <v>198</v>
      </c>
      <c r="AJ297" s="70">
        <f>IF(AN297=0,K297,0)</f>
        <v>0</v>
      </c>
      <c r="AK297" s="70">
        <f>IF(AN297=15,K297,0)</f>
        <v>0</v>
      </c>
      <c r="AL297" s="70">
        <f>IF(AN297=21,K297,0)</f>
        <v>0</v>
      </c>
      <c r="AN297" s="70">
        <v>21</v>
      </c>
      <c r="AO297" s="70">
        <f>H297*0</f>
        <v>0</v>
      </c>
      <c r="AP297" s="70">
        <f>H297*(1-0)</f>
        <v>0</v>
      </c>
      <c r="AQ297" s="71" t="s">
        <v>106</v>
      </c>
      <c r="AV297" s="70">
        <f>AW297+AX297</f>
        <v>0</v>
      </c>
      <c r="AW297" s="70">
        <f>G297*AO297</f>
        <v>0</v>
      </c>
      <c r="AX297" s="70">
        <f>G297*AP297</f>
        <v>0</v>
      </c>
      <c r="AY297" s="71" t="s">
        <v>607</v>
      </c>
      <c r="AZ297" s="71" t="s">
        <v>608</v>
      </c>
      <c r="BA297" s="67" t="s">
        <v>598</v>
      </c>
      <c r="BC297" s="70">
        <f>AW297+AX297</f>
        <v>0</v>
      </c>
      <c r="BD297" s="70">
        <f>H297/(100-BE297)*100</f>
        <v>0</v>
      </c>
      <c r="BE297" s="70">
        <v>0</v>
      </c>
      <c r="BF297" s="70">
        <f>297</f>
        <v>297</v>
      </c>
      <c r="BH297" s="70">
        <f>G297*AO297</f>
        <v>0</v>
      </c>
      <c r="BI297" s="70">
        <f>G297*AP297</f>
        <v>0</v>
      </c>
      <c r="BJ297" s="70">
        <f>G297*H297</f>
        <v>0</v>
      </c>
    </row>
    <row r="298" spans="2:12" ht="25.35" customHeight="1">
      <c r="B298" s="75" t="s">
        <v>67</v>
      </c>
      <c r="C298" s="725" t="s">
        <v>610</v>
      </c>
      <c r="D298" s="726"/>
      <c r="E298" s="726"/>
      <c r="F298" s="726"/>
      <c r="G298" s="726"/>
      <c r="H298" s="726"/>
      <c r="I298" s="726"/>
      <c r="J298" s="726"/>
      <c r="K298" s="726"/>
      <c r="L298" s="726"/>
    </row>
    <row r="299" spans="1:62" ht="15">
      <c r="A299" s="69" t="s">
        <v>611</v>
      </c>
      <c r="B299" s="69" t="s">
        <v>335</v>
      </c>
      <c r="C299" s="696" t="s">
        <v>336</v>
      </c>
      <c r="D299" s="693"/>
      <c r="E299" s="693"/>
      <c r="F299" s="69" t="s">
        <v>337</v>
      </c>
      <c r="G299" s="70">
        <v>1530</v>
      </c>
      <c r="H299" s="580">
        <v>0</v>
      </c>
      <c r="I299" s="70">
        <f>G299*AO299</f>
        <v>0</v>
      </c>
      <c r="J299" s="70">
        <f>G299*AP299</f>
        <v>0</v>
      </c>
      <c r="K299" s="70">
        <f>G299*H299</f>
        <v>0</v>
      </c>
      <c r="L299" s="71"/>
      <c r="Z299" s="70">
        <f>IF(AQ299="5",BJ299,0)</f>
        <v>0</v>
      </c>
      <c r="AB299" s="70">
        <f>IF(AQ299="1",BH299,0)</f>
        <v>0</v>
      </c>
      <c r="AC299" s="70">
        <f>IF(AQ299="1",BI299,0)</f>
        <v>0</v>
      </c>
      <c r="AD299" s="70">
        <f>IF(AQ299="7",BH299,0)</f>
        <v>0</v>
      </c>
      <c r="AE299" s="70">
        <f>IF(AQ299="7",BI299,0)</f>
        <v>0</v>
      </c>
      <c r="AF299" s="70">
        <f>IF(AQ299="2",BH299,0)</f>
        <v>0</v>
      </c>
      <c r="AG299" s="70">
        <f>IF(AQ299="2",BI299,0)</f>
        <v>0</v>
      </c>
      <c r="AH299" s="70">
        <f>IF(AQ299="0",BJ299,0)</f>
        <v>0</v>
      </c>
      <c r="AI299" s="67" t="s">
        <v>198</v>
      </c>
      <c r="AJ299" s="70">
        <f>IF(AN299=0,K299,0)</f>
        <v>0</v>
      </c>
      <c r="AK299" s="70">
        <f>IF(AN299=15,K299,0)</f>
        <v>0</v>
      </c>
      <c r="AL299" s="70">
        <f>IF(AN299=21,K299,0)</f>
        <v>0</v>
      </c>
      <c r="AN299" s="70">
        <v>21</v>
      </c>
      <c r="AO299" s="70">
        <f>H299*0</f>
        <v>0</v>
      </c>
      <c r="AP299" s="70">
        <f>H299*(1-0)</f>
        <v>0</v>
      </c>
      <c r="AQ299" s="71" t="s">
        <v>124</v>
      </c>
      <c r="AV299" s="70">
        <f>AW299+AX299</f>
        <v>0</v>
      </c>
      <c r="AW299" s="70">
        <f>G299*AO299</f>
        <v>0</v>
      </c>
      <c r="AX299" s="70">
        <f>G299*AP299</f>
        <v>0</v>
      </c>
      <c r="AY299" s="71" t="s">
        <v>607</v>
      </c>
      <c r="AZ299" s="71" t="s">
        <v>608</v>
      </c>
      <c r="BA299" s="67" t="s">
        <v>598</v>
      </c>
      <c r="BC299" s="70">
        <f>AW299+AX299</f>
        <v>0</v>
      </c>
      <c r="BD299" s="70">
        <f>H299/(100-BE299)*100</f>
        <v>0</v>
      </c>
      <c r="BE299" s="70">
        <v>0</v>
      </c>
      <c r="BF299" s="70">
        <f>299</f>
        <v>299</v>
      </c>
      <c r="BH299" s="70">
        <f>G299*AO299</f>
        <v>0</v>
      </c>
      <c r="BI299" s="70">
        <f>G299*AP299</f>
        <v>0</v>
      </c>
      <c r="BJ299" s="70">
        <f>G299*H299</f>
        <v>0</v>
      </c>
    </row>
    <row r="300" spans="2:12" ht="38.7" customHeight="1">
      <c r="B300" s="75" t="s">
        <v>67</v>
      </c>
      <c r="C300" s="725" t="s">
        <v>612</v>
      </c>
      <c r="D300" s="726"/>
      <c r="E300" s="726"/>
      <c r="F300" s="726"/>
      <c r="G300" s="726"/>
      <c r="H300" s="726"/>
      <c r="I300" s="726"/>
      <c r="J300" s="726"/>
      <c r="K300" s="726"/>
      <c r="L300" s="726"/>
    </row>
    <row r="301" spans="1:62" ht="15">
      <c r="A301" s="69" t="s">
        <v>613</v>
      </c>
      <c r="B301" s="69" t="s">
        <v>614</v>
      </c>
      <c r="C301" s="696" t="s">
        <v>615</v>
      </c>
      <c r="D301" s="693"/>
      <c r="E301" s="693"/>
      <c r="F301" s="69" t="s">
        <v>109</v>
      </c>
      <c r="G301" s="70">
        <v>311.4</v>
      </c>
      <c r="H301" s="580">
        <v>0</v>
      </c>
      <c r="I301" s="70">
        <f>G301*AO301</f>
        <v>0</v>
      </c>
      <c r="J301" s="70">
        <f>G301*AP301</f>
        <v>0</v>
      </c>
      <c r="K301" s="70">
        <f>G301*H301</f>
        <v>0</v>
      </c>
      <c r="L301" s="71" t="s">
        <v>120</v>
      </c>
      <c r="Z301" s="70">
        <f>IF(AQ301="5",BJ301,0)</f>
        <v>0</v>
      </c>
      <c r="AB301" s="70">
        <f>IF(AQ301="1",BH301,0)</f>
        <v>0</v>
      </c>
      <c r="AC301" s="70">
        <f>IF(AQ301="1",BI301,0)</f>
        <v>0</v>
      </c>
      <c r="AD301" s="70">
        <f>IF(AQ301="7",BH301,0)</f>
        <v>0</v>
      </c>
      <c r="AE301" s="70">
        <f>IF(AQ301="7",BI301,0)</f>
        <v>0</v>
      </c>
      <c r="AF301" s="70">
        <f>IF(AQ301="2",BH301,0)</f>
        <v>0</v>
      </c>
      <c r="AG301" s="70">
        <f>IF(AQ301="2",BI301,0)</f>
        <v>0</v>
      </c>
      <c r="AH301" s="70">
        <f>IF(AQ301="0",BJ301,0)</f>
        <v>0</v>
      </c>
      <c r="AI301" s="67" t="s">
        <v>198</v>
      </c>
      <c r="AJ301" s="70">
        <f>IF(AN301=0,K301,0)</f>
        <v>0</v>
      </c>
      <c r="AK301" s="70">
        <f>IF(AN301=15,K301,0)</f>
        <v>0</v>
      </c>
      <c r="AL301" s="70">
        <f>IF(AN301=21,K301,0)</f>
        <v>0</v>
      </c>
      <c r="AN301" s="70">
        <v>21</v>
      </c>
      <c r="AO301" s="70">
        <f>H301*0.067431693989071</f>
        <v>0</v>
      </c>
      <c r="AP301" s="70">
        <f>H301*(1-0.067431693989071)</f>
        <v>0</v>
      </c>
      <c r="AQ301" s="71" t="s">
        <v>106</v>
      </c>
      <c r="AV301" s="70">
        <f>AW301+AX301</f>
        <v>0</v>
      </c>
      <c r="AW301" s="70">
        <f>G301*AO301</f>
        <v>0</v>
      </c>
      <c r="AX301" s="70">
        <f>G301*AP301</f>
        <v>0</v>
      </c>
      <c r="AY301" s="71" t="s">
        <v>607</v>
      </c>
      <c r="AZ301" s="71" t="s">
        <v>608</v>
      </c>
      <c r="BA301" s="67" t="s">
        <v>598</v>
      </c>
      <c r="BC301" s="70">
        <f>AW301+AX301</f>
        <v>0</v>
      </c>
      <c r="BD301" s="70">
        <f>H301/(100-BE301)*100</f>
        <v>0</v>
      </c>
      <c r="BE301" s="70">
        <v>0</v>
      </c>
      <c r="BF301" s="70">
        <f>301</f>
        <v>301</v>
      </c>
      <c r="BH301" s="70">
        <f>G301*AO301</f>
        <v>0</v>
      </c>
      <c r="BI301" s="70">
        <f>G301*AP301</f>
        <v>0</v>
      </c>
      <c r="BJ301" s="70">
        <f>G301*H301</f>
        <v>0</v>
      </c>
    </row>
    <row r="302" spans="2:12" ht="12.75" customHeight="1">
      <c r="B302" s="75" t="s">
        <v>67</v>
      </c>
      <c r="C302" s="725" t="s">
        <v>427</v>
      </c>
      <c r="D302" s="726"/>
      <c r="E302" s="726"/>
      <c r="F302" s="726"/>
      <c r="G302" s="726"/>
      <c r="H302" s="726"/>
      <c r="I302" s="726"/>
      <c r="J302" s="726"/>
      <c r="K302" s="726"/>
      <c r="L302" s="726"/>
    </row>
    <row r="303" spans="1:47" ht="15">
      <c r="A303" s="88"/>
      <c r="B303" s="89" t="s">
        <v>345</v>
      </c>
      <c r="C303" s="710" t="s">
        <v>346</v>
      </c>
      <c r="D303" s="711"/>
      <c r="E303" s="711"/>
      <c r="F303" s="88" t="s">
        <v>70</v>
      </c>
      <c r="G303" s="88" t="s">
        <v>70</v>
      </c>
      <c r="H303" s="88" t="s">
        <v>70</v>
      </c>
      <c r="I303" s="90">
        <f>SUM(I304:I304)</f>
        <v>0</v>
      </c>
      <c r="J303" s="90">
        <f>SUM(J304:J304)</f>
        <v>0</v>
      </c>
      <c r="K303" s="90">
        <f>SUM(K304:K304)</f>
        <v>0</v>
      </c>
      <c r="L303" s="91"/>
      <c r="AI303" s="67" t="s">
        <v>198</v>
      </c>
      <c r="AS303" s="68">
        <f>SUM(AJ304:AJ304)</f>
        <v>0</v>
      </c>
      <c r="AT303" s="68">
        <f>SUM(AK304:AK304)</f>
        <v>0</v>
      </c>
      <c r="AU303" s="68">
        <f>SUM(AL304:AL304)</f>
        <v>0</v>
      </c>
    </row>
    <row r="304" spans="1:62" ht="15">
      <c r="A304" s="69" t="s">
        <v>616</v>
      </c>
      <c r="B304" s="69" t="s">
        <v>348</v>
      </c>
      <c r="C304" s="696" t="s">
        <v>349</v>
      </c>
      <c r="D304" s="693"/>
      <c r="E304" s="693"/>
      <c r="F304" s="69" t="s">
        <v>132</v>
      </c>
      <c r="G304" s="70">
        <v>149</v>
      </c>
      <c r="H304" s="580">
        <v>0</v>
      </c>
      <c r="I304" s="70">
        <f>G304*AO304</f>
        <v>0</v>
      </c>
      <c r="J304" s="70">
        <f>G304*AP304</f>
        <v>0</v>
      </c>
      <c r="K304" s="70">
        <f>G304*H304</f>
        <v>0</v>
      </c>
      <c r="L304" s="71" t="s">
        <v>282</v>
      </c>
      <c r="Z304" s="70">
        <f>IF(AQ304="5",BJ304,0)</f>
        <v>0</v>
      </c>
      <c r="AB304" s="70">
        <f>IF(AQ304="1",BH304,0)</f>
        <v>0</v>
      </c>
      <c r="AC304" s="70">
        <f>IF(AQ304="1",BI304,0)</f>
        <v>0</v>
      </c>
      <c r="AD304" s="70">
        <f>IF(AQ304="7",BH304,0)</f>
        <v>0</v>
      </c>
      <c r="AE304" s="70">
        <f>IF(AQ304="7",BI304,0)</f>
        <v>0</v>
      </c>
      <c r="AF304" s="70">
        <f>IF(AQ304="2",BH304,0)</f>
        <v>0</v>
      </c>
      <c r="AG304" s="70">
        <f>IF(AQ304="2",BI304,0)</f>
        <v>0</v>
      </c>
      <c r="AH304" s="70">
        <f>IF(AQ304="0",BJ304,0)</f>
        <v>0</v>
      </c>
      <c r="AI304" s="67" t="s">
        <v>198</v>
      </c>
      <c r="AJ304" s="70">
        <f>IF(AN304=0,K304,0)</f>
        <v>0</v>
      </c>
      <c r="AK304" s="70">
        <f>IF(AN304=15,K304,0)</f>
        <v>0</v>
      </c>
      <c r="AL304" s="70">
        <f>IF(AN304=21,K304,0)</f>
        <v>0</v>
      </c>
      <c r="AN304" s="70">
        <v>21</v>
      </c>
      <c r="AO304" s="70">
        <f>H304*0</f>
        <v>0</v>
      </c>
      <c r="AP304" s="70">
        <f>H304*(1-0)</f>
        <v>0</v>
      </c>
      <c r="AQ304" s="71" t="s">
        <v>124</v>
      </c>
      <c r="AV304" s="70">
        <f>AW304+AX304</f>
        <v>0</v>
      </c>
      <c r="AW304" s="70">
        <f>G304*AO304</f>
        <v>0</v>
      </c>
      <c r="AX304" s="70">
        <f>G304*AP304</f>
        <v>0</v>
      </c>
      <c r="AY304" s="71" t="s">
        <v>350</v>
      </c>
      <c r="AZ304" s="71" t="s">
        <v>617</v>
      </c>
      <c r="BA304" s="67" t="s">
        <v>598</v>
      </c>
      <c r="BC304" s="70">
        <f>AW304+AX304</f>
        <v>0</v>
      </c>
      <c r="BD304" s="70">
        <f>H304/(100-BE304)*100</f>
        <v>0</v>
      </c>
      <c r="BE304" s="70">
        <v>0</v>
      </c>
      <c r="BF304" s="70">
        <f>304</f>
        <v>304</v>
      </c>
      <c r="BH304" s="70">
        <f>G304*AO304</f>
        <v>0</v>
      </c>
      <c r="BI304" s="70">
        <f>G304*AP304</f>
        <v>0</v>
      </c>
      <c r="BJ304" s="70">
        <f>G304*H304</f>
        <v>0</v>
      </c>
    </row>
    <row r="305" spans="1:47" s="94" customFormat="1" ht="15">
      <c r="A305" s="95"/>
      <c r="B305" s="96"/>
      <c r="C305" s="734" t="s">
        <v>52</v>
      </c>
      <c r="D305" s="735"/>
      <c r="E305" s="735"/>
      <c r="F305" s="95" t="s">
        <v>70</v>
      </c>
      <c r="G305" s="95" t="s">
        <v>70</v>
      </c>
      <c r="H305" s="95" t="s">
        <v>70</v>
      </c>
      <c r="I305" s="97">
        <f>SUM(I306:I308)</f>
        <v>0</v>
      </c>
      <c r="J305" s="97">
        <f>SUM(J306:J308)</f>
        <v>0</v>
      </c>
      <c r="K305" s="97">
        <f>SUM(K306:K308)</f>
        <v>0</v>
      </c>
      <c r="L305" s="98"/>
      <c r="AI305" s="93" t="s">
        <v>198</v>
      </c>
      <c r="AS305" s="92">
        <f>SUM(AJ306:AJ308)</f>
        <v>0</v>
      </c>
      <c r="AT305" s="92">
        <f>SUM(AK306:AK308)</f>
        <v>0</v>
      </c>
      <c r="AU305" s="92">
        <f>SUM(AL306:AL308)</f>
        <v>0</v>
      </c>
    </row>
    <row r="306" spans="1:62" ht="15">
      <c r="A306" s="69" t="s">
        <v>618</v>
      </c>
      <c r="B306" s="69" t="s">
        <v>353</v>
      </c>
      <c r="C306" s="696" t="s">
        <v>619</v>
      </c>
      <c r="D306" s="693"/>
      <c r="E306" s="693"/>
      <c r="F306" s="69" t="s">
        <v>132</v>
      </c>
      <c r="G306" s="70">
        <v>32.3</v>
      </c>
      <c r="H306" s="580">
        <v>0</v>
      </c>
      <c r="I306" s="70">
        <f>G306*AO306</f>
        <v>0</v>
      </c>
      <c r="J306" s="70">
        <f>G306*AP306</f>
        <v>0</v>
      </c>
      <c r="K306" s="70">
        <f>G306*H306</f>
        <v>0</v>
      </c>
      <c r="L306" s="71" t="s">
        <v>282</v>
      </c>
      <c r="Z306" s="70">
        <f>IF(AQ306="5",BJ306,0)</f>
        <v>0</v>
      </c>
      <c r="AB306" s="70">
        <f>IF(AQ306="1",BH306,0)</f>
        <v>0</v>
      </c>
      <c r="AC306" s="70">
        <f>IF(AQ306="1",BI306,0)</f>
        <v>0</v>
      </c>
      <c r="AD306" s="70">
        <f>IF(AQ306="7",BH306,0)</f>
        <v>0</v>
      </c>
      <c r="AE306" s="70">
        <f>IF(AQ306="7",BI306,0)</f>
        <v>0</v>
      </c>
      <c r="AF306" s="70">
        <f>IF(AQ306="2",BH306,0)</f>
        <v>0</v>
      </c>
      <c r="AG306" s="70">
        <f>IF(AQ306="2",BI306,0)</f>
        <v>0</v>
      </c>
      <c r="AH306" s="70">
        <f>IF(AQ306="0",BJ306,0)</f>
        <v>0</v>
      </c>
      <c r="AI306" s="67" t="s">
        <v>198</v>
      </c>
      <c r="AJ306" s="70">
        <f>IF(AN306=0,K306,0)</f>
        <v>0</v>
      </c>
      <c r="AK306" s="70">
        <f>IF(AN306=15,K306,0)</f>
        <v>0</v>
      </c>
      <c r="AL306" s="70">
        <f>IF(AN306=21,K306,0)</f>
        <v>0</v>
      </c>
      <c r="AN306" s="70">
        <v>21</v>
      </c>
      <c r="AO306" s="70">
        <f>H306*1</f>
        <v>0</v>
      </c>
      <c r="AP306" s="70">
        <f>H306*(1-1)</f>
        <v>0</v>
      </c>
      <c r="AQ306" s="71" t="s">
        <v>355</v>
      </c>
      <c r="AV306" s="70">
        <f>AW306+AX306</f>
        <v>0</v>
      </c>
      <c r="AW306" s="70">
        <f>G306*AO306</f>
        <v>0</v>
      </c>
      <c r="AX306" s="70">
        <f>G306*AP306</f>
        <v>0</v>
      </c>
      <c r="AY306" s="71" t="s">
        <v>356</v>
      </c>
      <c r="AZ306" s="71" t="s">
        <v>620</v>
      </c>
      <c r="BA306" s="67" t="s">
        <v>598</v>
      </c>
      <c r="BC306" s="70">
        <f>AW306+AX306</f>
        <v>0</v>
      </c>
      <c r="BD306" s="70">
        <f>H306/(100-BE306)*100</f>
        <v>0</v>
      </c>
      <c r="BE306" s="70">
        <v>0</v>
      </c>
      <c r="BF306" s="70">
        <f>306</f>
        <v>306</v>
      </c>
      <c r="BH306" s="70">
        <f>G306*AO306</f>
        <v>0</v>
      </c>
      <c r="BI306" s="70">
        <f>G306*AP306</f>
        <v>0</v>
      </c>
      <c r="BJ306" s="70">
        <f>G306*H306</f>
        <v>0</v>
      </c>
    </row>
    <row r="307" spans="2:12" ht="12.75" customHeight="1">
      <c r="B307" s="75" t="s">
        <v>67</v>
      </c>
      <c r="C307" s="725" t="s">
        <v>358</v>
      </c>
      <c r="D307" s="726"/>
      <c r="E307" s="726"/>
      <c r="F307" s="726"/>
      <c r="G307" s="726"/>
      <c r="H307" s="726"/>
      <c r="I307" s="726"/>
      <c r="J307" s="726"/>
      <c r="K307" s="726"/>
      <c r="L307" s="726"/>
    </row>
    <row r="308" spans="1:62" ht="15">
      <c r="A308" s="69" t="s">
        <v>621</v>
      </c>
      <c r="B308" s="69" t="s">
        <v>363</v>
      </c>
      <c r="C308" s="696" t="s">
        <v>622</v>
      </c>
      <c r="D308" s="693"/>
      <c r="E308" s="693"/>
      <c r="F308" s="69" t="s">
        <v>132</v>
      </c>
      <c r="G308" s="70">
        <v>82.4</v>
      </c>
      <c r="H308" s="580">
        <v>0</v>
      </c>
      <c r="I308" s="70">
        <f>G308*AO308</f>
        <v>0</v>
      </c>
      <c r="J308" s="70">
        <f>G308*AP308</f>
        <v>0</v>
      </c>
      <c r="K308" s="70">
        <f>G308*H308</f>
        <v>0</v>
      </c>
      <c r="L308" s="71" t="s">
        <v>120</v>
      </c>
      <c r="Z308" s="70">
        <f>IF(AQ308="5",BJ308,0)</f>
        <v>0</v>
      </c>
      <c r="AB308" s="70">
        <f>IF(AQ308="1",BH308,0)</f>
        <v>0</v>
      </c>
      <c r="AC308" s="70">
        <f>IF(AQ308="1",BI308,0)</f>
        <v>0</v>
      </c>
      <c r="AD308" s="70">
        <f>IF(AQ308="7",BH308,0)</f>
        <v>0</v>
      </c>
      <c r="AE308" s="70">
        <f>IF(AQ308="7",BI308,0)</f>
        <v>0</v>
      </c>
      <c r="AF308" s="70">
        <f>IF(AQ308="2",BH308,0)</f>
        <v>0</v>
      </c>
      <c r="AG308" s="70">
        <f>IF(AQ308="2",BI308,0)</f>
        <v>0</v>
      </c>
      <c r="AH308" s="70">
        <f>IF(AQ308="0",BJ308,0)</f>
        <v>0</v>
      </c>
      <c r="AI308" s="67" t="s">
        <v>198</v>
      </c>
      <c r="AJ308" s="70">
        <f>IF(AN308=0,K308,0)</f>
        <v>0</v>
      </c>
      <c r="AK308" s="70">
        <f>IF(AN308=15,K308,0)</f>
        <v>0</v>
      </c>
      <c r="AL308" s="70">
        <f>IF(AN308=21,K308,0)</f>
        <v>0</v>
      </c>
      <c r="AN308" s="70">
        <v>21</v>
      </c>
      <c r="AO308" s="70">
        <f>H308*1</f>
        <v>0</v>
      </c>
      <c r="AP308" s="70">
        <f>H308*(1-1)</f>
        <v>0</v>
      </c>
      <c r="AQ308" s="71" t="s">
        <v>355</v>
      </c>
      <c r="AV308" s="70">
        <f>AW308+AX308</f>
        <v>0</v>
      </c>
      <c r="AW308" s="70">
        <f>G308*AO308</f>
        <v>0</v>
      </c>
      <c r="AX308" s="70">
        <f>G308*AP308</f>
        <v>0</v>
      </c>
      <c r="AY308" s="71" t="s">
        <v>356</v>
      </c>
      <c r="AZ308" s="71" t="s">
        <v>620</v>
      </c>
      <c r="BA308" s="67" t="s">
        <v>598</v>
      </c>
      <c r="BC308" s="70">
        <f>AW308+AX308</f>
        <v>0</v>
      </c>
      <c r="BD308" s="70">
        <f>H308/(100-BE308)*100</f>
        <v>0</v>
      </c>
      <c r="BE308" s="70">
        <v>0</v>
      </c>
      <c r="BF308" s="70">
        <f>308</f>
        <v>308</v>
      </c>
      <c r="BH308" s="70">
        <f>G308*AO308</f>
        <v>0</v>
      </c>
      <c r="BI308" s="70">
        <f>G308*AP308</f>
        <v>0</v>
      </c>
      <c r="BJ308" s="70">
        <f>G308*H308</f>
        <v>0</v>
      </c>
    </row>
    <row r="309" spans="2:12" ht="12.75" customHeight="1">
      <c r="B309" s="75" t="s">
        <v>67</v>
      </c>
      <c r="C309" s="725" t="s">
        <v>358</v>
      </c>
      <c r="D309" s="726"/>
      <c r="E309" s="726"/>
      <c r="F309" s="726"/>
      <c r="G309" s="726"/>
      <c r="H309" s="726"/>
      <c r="I309" s="726"/>
      <c r="J309" s="726"/>
      <c r="K309" s="726"/>
      <c r="L309" s="726"/>
    </row>
    <row r="310" spans="1:12" ht="15">
      <c r="A310" s="48"/>
      <c r="B310" s="49"/>
      <c r="C310" s="727" t="s">
        <v>623</v>
      </c>
      <c r="D310" s="728"/>
      <c r="E310" s="728"/>
      <c r="F310" s="48" t="s">
        <v>70</v>
      </c>
      <c r="G310" s="48" t="s">
        <v>70</v>
      </c>
      <c r="H310" s="48" t="s">
        <v>70</v>
      </c>
      <c r="I310" s="50">
        <f>I311+I313+I315+I317</f>
        <v>0</v>
      </c>
      <c r="J310" s="50">
        <f>J311+J313+J315+J317</f>
        <v>0</v>
      </c>
      <c r="K310" s="50">
        <f>K311+K313+K315+K317</f>
        <v>0</v>
      </c>
      <c r="L310" s="51"/>
    </row>
    <row r="311" spans="1:47" ht="15">
      <c r="A311" s="88"/>
      <c r="B311" s="89" t="s">
        <v>169</v>
      </c>
      <c r="C311" s="710" t="s">
        <v>278</v>
      </c>
      <c r="D311" s="711"/>
      <c r="E311" s="711"/>
      <c r="F311" s="88" t="s">
        <v>70</v>
      </c>
      <c r="G311" s="88" t="s">
        <v>70</v>
      </c>
      <c r="H311" s="88" t="s">
        <v>70</v>
      </c>
      <c r="I311" s="90">
        <f>SUM(I312:I312)</f>
        <v>0</v>
      </c>
      <c r="J311" s="90">
        <f>SUM(J312:J312)</f>
        <v>0</v>
      </c>
      <c r="K311" s="90">
        <f>SUM(K312:K312)</f>
        <v>0</v>
      </c>
      <c r="L311" s="91"/>
      <c r="AI311" s="67" t="s">
        <v>200</v>
      </c>
      <c r="AS311" s="68">
        <f>SUM(AJ312:AJ312)</f>
        <v>0</v>
      </c>
      <c r="AT311" s="68">
        <f>SUM(AK312:AK312)</f>
        <v>0</v>
      </c>
      <c r="AU311" s="68">
        <f>SUM(AL312:AL312)</f>
        <v>0</v>
      </c>
    </row>
    <row r="312" spans="1:62" ht="15">
      <c r="A312" s="69" t="s">
        <v>624</v>
      </c>
      <c r="B312" s="69" t="s">
        <v>318</v>
      </c>
      <c r="C312" s="696" t="s">
        <v>319</v>
      </c>
      <c r="D312" s="693"/>
      <c r="E312" s="693"/>
      <c r="F312" s="69" t="s">
        <v>109</v>
      </c>
      <c r="G312" s="70">
        <v>2.6</v>
      </c>
      <c r="H312" s="580">
        <v>0</v>
      </c>
      <c r="I312" s="70">
        <f>G312*AO312</f>
        <v>0</v>
      </c>
      <c r="J312" s="70">
        <f>G312*AP312</f>
        <v>0</v>
      </c>
      <c r="K312" s="70">
        <f>G312*H312</f>
        <v>0</v>
      </c>
      <c r="L312" s="71" t="s">
        <v>282</v>
      </c>
      <c r="Z312" s="70">
        <f>IF(AQ312="5",BJ312,0)</f>
        <v>0</v>
      </c>
      <c r="AB312" s="70">
        <f>IF(AQ312="1",BH312,0)</f>
        <v>0</v>
      </c>
      <c r="AC312" s="70">
        <f>IF(AQ312="1",BI312,0)</f>
        <v>0</v>
      </c>
      <c r="AD312" s="70">
        <f>IF(AQ312="7",BH312,0)</f>
        <v>0</v>
      </c>
      <c r="AE312" s="70">
        <f>IF(AQ312="7",BI312,0)</f>
        <v>0</v>
      </c>
      <c r="AF312" s="70">
        <f>IF(AQ312="2",BH312,0)</f>
        <v>0</v>
      </c>
      <c r="AG312" s="70">
        <f>IF(AQ312="2",BI312,0)</f>
        <v>0</v>
      </c>
      <c r="AH312" s="70">
        <f>IF(AQ312="0",BJ312,0)</f>
        <v>0</v>
      </c>
      <c r="AI312" s="67" t="s">
        <v>200</v>
      </c>
      <c r="AJ312" s="70">
        <f>IF(AN312=0,K312,0)</f>
        <v>0</v>
      </c>
      <c r="AK312" s="70">
        <f>IF(AN312=15,K312,0)</f>
        <v>0</v>
      </c>
      <c r="AL312" s="70">
        <f>IF(AN312=21,K312,0)</f>
        <v>0</v>
      </c>
      <c r="AN312" s="70">
        <v>21</v>
      </c>
      <c r="AO312" s="70">
        <f>H312*0</f>
        <v>0</v>
      </c>
      <c r="AP312" s="70">
        <f>H312*(1-0)</f>
        <v>0</v>
      </c>
      <c r="AQ312" s="71" t="s">
        <v>106</v>
      </c>
      <c r="AV312" s="70">
        <f>AW312+AX312</f>
        <v>0</v>
      </c>
      <c r="AW312" s="70">
        <f>G312*AO312</f>
        <v>0</v>
      </c>
      <c r="AX312" s="70">
        <f>G312*AP312</f>
        <v>0</v>
      </c>
      <c r="AY312" s="71" t="s">
        <v>283</v>
      </c>
      <c r="AZ312" s="71" t="s">
        <v>625</v>
      </c>
      <c r="BA312" s="67" t="s">
        <v>626</v>
      </c>
      <c r="BC312" s="70">
        <f>AW312+AX312</f>
        <v>0</v>
      </c>
      <c r="BD312" s="70">
        <f>H312/(100-BE312)*100</f>
        <v>0</v>
      </c>
      <c r="BE312" s="70">
        <v>0</v>
      </c>
      <c r="BF312" s="70">
        <f>312</f>
        <v>312</v>
      </c>
      <c r="BH312" s="70">
        <f>G312*AO312</f>
        <v>0</v>
      </c>
      <c r="BI312" s="70">
        <f>G312*AP312</f>
        <v>0</v>
      </c>
      <c r="BJ312" s="70">
        <f>G312*H312</f>
        <v>0</v>
      </c>
    </row>
    <row r="313" spans="1:47" ht="15">
      <c r="A313" s="88"/>
      <c r="B313" s="89" t="s">
        <v>430</v>
      </c>
      <c r="C313" s="710" t="s">
        <v>627</v>
      </c>
      <c r="D313" s="711"/>
      <c r="E313" s="711"/>
      <c r="F313" s="88" t="s">
        <v>70</v>
      </c>
      <c r="G313" s="88" t="s">
        <v>70</v>
      </c>
      <c r="H313" s="88" t="s">
        <v>70</v>
      </c>
      <c r="I313" s="90">
        <f>SUM(I314:I314)</f>
        <v>0</v>
      </c>
      <c r="J313" s="90">
        <f>SUM(J314:J314)</f>
        <v>0</v>
      </c>
      <c r="K313" s="90">
        <f>SUM(K314:K314)</f>
        <v>0</v>
      </c>
      <c r="L313" s="91"/>
      <c r="AI313" s="67" t="s">
        <v>200</v>
      </c>
      <c r="AS313" s="68">
        <f>SUM(AJ314:AJ314)</f>
        <v>0</v>
      </c>
      <c r="AT313" s="68">
        <f>SUM(AK314:AK314)</f>
        <v>0</v>
      </c>
      <c r="AU313" s="68">
        <f>SUM(AL314:AL314)</f>
        <v>0</v>
      </c>
    </row>
    <row r="314" spans="1:62" ht="15">
      <c r="A314" s="69" t="s">
        <v>628</v>
      </c>
      <c r="B314" s="69" t="s">
        <v>343</v>
      </c>
      <c r="C314" s="696" t="s">
        <v>629</v>
      </c>
      <c r="D314" s="693"/>
      <c r="E314" s="693"/>
      <c r="F314" s="69" t="s">
        <v>209</v>
      </c>
      <c r="G314" s="70">
        <v>23</v>
      </c>
      <c r="H314" s="580">
        <v>0</v>
      </c>
      <c r="I314" s="70">
        <f>G314*AO314</f>
        <v>0</v>
      </c>
      <c r="J314" s="70">
        <f>G314*AP314</f>
        <v>0</v>
      </c>
      <c r="K314" s="70">
        <f>G314*H314</f>
        <v>0</v>
      </c>
      <c r="L314" s="71" t="s">
        <v>120</v>
      </c>
      <c r="Z314" s="70">
        <f>IF(AQ314="5",BJ314,0)</f>
        <v>0</v>
      </c>
      <c r="AB314" s="70">
        <f>IF(AQ314="1",BH314,0)</f>
        <v>0</v>
      </c>
      <c r="AC314" s="70">
        <f>IF(AQ314="1",BI314,0)</f>
        <v>0</v>
      </c>
      <c r="AD314" s="70">
        <f>IF(AQ314="7",BH314,0)</f>
        <v>0</v>
      </c>
      <c r="AE314" s="70">
        <f>IF(AQ314="7",BI314,0)</f>
        <v>0</v>
      </c>
      <c r="AF314" s="70">
        <f>IF(AQ314="2",BH314,0)</f>
        <v>0</v>
      </c>
      <c r="AG314" s="70">
        <f>IF(AQ314="2",BI314,0)</f>
        <v>0</v>
      </c>
      <c r="AH314" s="70">
        <f>IF(AQ314="0",BJ314,0)</f>
        <v>0</v>
      </c>
      <c r="AI314" s="67" t="s">
        <v>200</v>
      </c>
      <c r="AJ314" s="70">
        <f>IF(AN314=0,K314,0)</f>
        <v>0</v>
      </c>
      <c r="AK314" s="70">
        <f>IF(AN314=15,K314,0)</f>
        <v>0</v>
      </c>
      <c r="AL314" s="70">
        <f>IF(AN314=21,K314,0)</f>
        <v>0</v>
      </c>
      <c r="AN314" s="70">
        <v>21</v>
      </c>
      <c r="AO314" s="70">
        <f>H314*0.475030120481928</f>
        <v>0</v>
      </c>
      <c r="AP314" s="70">
        <f>H314*(1-0.475030120481928)</f>
        <v>0</v>
      </c>
      <c r="AQ314" s="71" t="s">
        <v>106</v>
      </c>
      <c r="AV314" s="70">
        <f>AW314+AX314</f>
        <v>0</v>
      </c>
      <c r="AW314" s="70">
        <f>G314*AO314</f>
        <v>0</v>
      </c>
      <c r="AX314" s="70">
        <f>G314*AP314</f>
        <v>0</v>
      </c>
      <c r="AY314" s="71" t="s">
        <v>630</v>
      </c>
      <c r="AZ314" s="71" t="s">
        <v>631</v>
      </c>
      <c r="BA314" s="67" t="s">
        <v>626</v>
      </c>
      <c r="BC314" s="70">
        <f>AW314+AX314</f>
        <v>0</v>
      </c>
      <c r="BD314" s="70">
        <f>H314/(100-BE314)*100</f>
        <v>0</v>
      </c>
      <c r="BE314" s="70">
        <v>0</v>
      </c>
      <c r="BF314" s="70">
        <f>314</f>
        <v>314</v>
      </c>
      <c r="BH314" s="70">
        <f>G314*AO314</f>
        <v>0</v>
      </c>
      <c r="BI314" s="70">
        <f>G314*AP314</f>
        <v>0</v>
      </c>
      <c r="BJ314" s="70">
        <f>G314*H314</f>
        <v>0</v>
      </c>
    </row>
    <row r="315" spans="1:47" ht="15">
      <c r="A315" s="88"/>
      <c r="B315" s="89" t="s">
        <v>345</v>
      </c>
      <c r="C315" s="710" t="s">
        <v>346</v>
      </c>
      <c r="D315" s="711"/>
      <c r="E315" s="711"/>
      <c r="F315" s="88" t="s">
        <v>70</v>
      </c>
      <c r="G315" s="88" t="s">
        <v>70</v>
      </c>
      <c r="H315" s="88" t="s">
        <v>70</v>
      </c>
      <c r="I315" s="90">
        <f>SUM(I316:I316)</f>
        <v>0</v>
      </c>
      <c r="J315" s="90">
        <f>SUM(J316:J316)</f>
        <v>0</v>
      </c>
      <c r="K315" s="90">
        <f>SUM(K316:K316)</f>
        <v>0</v>
      </c>
      <c r="L315" s="91"/>
      <c r="AI315" s="67" t="s">
        <v>200</v>
      </c>
      <c r="AS315" s="68">
        <f>SUM(AJ316:AJ316)</f>
        <v>0</v>
      </c>
      <c r="AT315" s="68">
        <f>SUM(AK316:AK316)</f>
        <v>0</v>
      </c>
      <c r="AU315" s="68">
        <f>SUM(AL316:AL316)</f>
        <v>0</v>
      </c>
    </row>
    <row r="316" spans="1:62" ht="15">
      <c r="A316" s="69" t="s">
        <v>632</v>
      </c>
      <c r="B316" s="69" t="s">
        <v>348</v>
      </c>
      <c r="C316" s="696" t="s">
        <v>349</v>
      </c>
      <c r="D316" s="693"/>
      <c r="E316" s="693"/>
      <c r="F316" s="69" t="s">
        <v>132</v>
      </c>
      <c r="G316" s="70">
        <v>5</v>
      </c>
      <c r="H316" s="580">
        <v>0</v>
      </c>
      <c r="I316" s="70">
        <f>G316*AO316</f>
        <v>0</v>
      </c>
      <c r="J316" s="70">
        <f>G316*AP316</f>
        <v>0</v>
      </c>
      <c r="K316" s="70">
        <f>G316*H316</f>
        <v>0</v>
      </c>
      <c r="L316" s="71" t="s">
        <v>282</v>
      </c>
      <c r="Z316" s="70">
        <f>IF(AQ316="5",BJ316,0)</f>
        <v>0</v>
      </c>
      <c r="AB316" s="70">
        <f>IF(AQ316="1",BH316,0)</f>
        <v>0</v>
      </c>
      <c r="AC316" s="70">
        <f>IF(AQ316="1",BI316,0)</f>
        <v>0</v>
      </c>
      <c r="AD316" s="70">
        <f>IF(AQ316="7",BH316,0)</f>
        <v>0</v>
      </c>
      <c r="AE316" s="70">
        <f>IF(AQ316="7",BI316,0)</f>
        <v>0</v>
      </c>
      <c r="AF316" s="70">
        <f>IF(AQ316="2",BH316,0)</f>
        <v>0</v>
      </c>
      <c r="AG316" s="70">
        <f>IF(AQ316="2",BI316,0)</f>
        <v>0</v>
      </c>
      <c r="AH316" s="70">
        <f>IF(AQ316="0",BJ316,0)</f>
        <v>0</v>
      </c>
      <c r="AI316" s="67" t="s">
        <v>200</v>
      </c>
      <c r="AJ316" s="70">
        <f>IF(AN316=0,K316,0)</f>
        <v>0</v>
      </c>
      <c r="AK316" s="70">
        <f>IF(AN316=15,K316,0)</f>
        <v>0</v>
      </c>
      <c r="AL316" s="70">
        <f>IF(AN316=21,K316,0)</f>
        <v>0</v>
      </c>
      <c r="AN316" s="70">
        <v>21</v>
      </c>
      <c r="AO316" s="70">
        <f>H316*0</f>
        <v>0</v>
      </c>
      <c r="AP316" s="70">
        <f>H316*(1-0)</f>
        <v>0</v>
      </c>
      <c r="AQ316" s="71" t="s">
        <v>124</v>
      </c>
      <c r="AV316" s="70">
        <f>AW316+AX316</f>
        <v>0</v>
      </c>
      <c r="AW316" s="70">
        <f>G316*AO316</f>
        <v>0</v>
      </c>
      <c r="AX316" s="70">
        <f>G316*AP316</f>
        <v>0</v>
      </c>
      <c r="AY316" s="71" t="s">
        <v>350</v>
      </c>
      <c r="AZ316" s="71" t="s">
        <v>631</v>
      </c>
      <c r="BA316" s="67" t="s">
        <v>626</v>
      </c>
      <c r="BC316" s="70">
        <f>AW316+AX316</f>
        <v>0</v>
      </c>
      <c r="BD316" s="70">
        <f>H316/(100-BE316)*100</f>
        <v>0</v>
      </c>
      <c r="BE316" s="70">
        <v>0</v>
      </c>
      <c r="BF316" s="70">
        <f>316</f>
        <v>316</v>
      </c>
      <c r="BH316" s="70">
        <f>G316*AO316</f>
        <v>0</v>
      </c>
      <c r="BI316" s="70">
        <f>G316*AP316</f>
        <v>0</v>
      </c>
      <c r="BJ316" s="70">
        <f>G316*H316</f>
        <v>0</v>
      </c>
    </row>
    <row r="317" spans="1:47" ht="15">
      <c r="A317" s="88"/>
      <c r="B317" s="89"/>
      <c r="C317" s="710" t="s">
        <v>52</v>
      </c>
      <c r="D317" s="711"/>
      <c r="E317" s="711"/>
      <c r="F317" s="88" t="s">
        <v>70</v>
      </c>
      <c r="G317" s="88" t="s">
        <v>70</v>
      </c>
      <c r="H317" s="88" t="s">
        <v>70</v>
      </c>
      <c r="I317" s="90">
        <f>SUM(I318:I318)</f>
        <v>0</v>
      </c>
      <c r="J317" s="90">
        <f>SUM(J318:J318)</f>
        <v>0</v>
      </c>
      <c r="K317" s="90">
        <f>SUM(K318:K318)</f>
        <v>0</v>
      </c>
      <c r="L317" s="91"/>
      <c r="AI317" s="67" t="s">
        <v>200</v>
      </c>
      <c r="AS317" s="68">
        <f>SUM(AJ318:AJ318)</f>
        <v>0</v>
      </c>
      <c r="AT317" s="68">
        <f>SUM(AK318:AK318)</f>
        <v>0</v>
      </c>
      <c r="AU317" s="68">
        <f>SUM(AL318:AL318)</f>
        <v>0</v>
      </c>
    </row>
    <row r="318" spans="1:62" ht="15">
      <c r="A318" s="69" t="s">
        <v>633</v>
      </c>
      <c r="B318" s="69" t="s">
        <v>370</v>
      </c>
      <c r="C318" s="696" t="s">
        <v>634</v>
      </c>
      <c r="D318" s="693"/>
      <c r="E318" s="693"/>
      <c r="F318" s="69" t="s">
        <v>209</v>
      </c>
      <c r="G318" s="70">
        <v>23</v>
      </c>
      <c r="H318" s="580">
        <v>0</v>
      </c>
      <c r="I318" s="70">
        <f>G318*AO318</f>
        <v>0</v>
      </c>
      <c r="J318" s="70">
        <f>G318*AP318</f>
        <v>0</v>
      </c>
      <c r="K318" s="70">
        <f>G318*H318</f>
        <v>0</v>
      </c>
      <c r="L318" s="71" t="s">
        <v>120</v>
      </c>
      <c r="Z318" s="70">
        <f>IF(AQ318="5",BJ318,0)</f>
        <v>0</v>
      </c>
      <c r="AB318" s="70">
        <f>IF(AQ318="1",BH318,0)</f>
        <v>0</v>
      </c>
      <c r="AC318" s="70">
        <f>IF(AQ318="1",BI318,0)</f>
        <v>0</v>
      </c>
      <c r="AD318" s="70">
        <f>IF(AQ318="7",BH318,0)</f>
        <v>0</v>
      </c>
      <c r="AE318" s="70">
        <f>IF(AQ318="7",BI318,0)</f>
        <v>0</v>
      </c>
      <c r="AF318" s="70">
        <f>IF(AQ318="2",BH318,0)</f>
        <v>0</v>
      </c>
      <c r="AG318" s="70">
        <f>IF(AQ318="2",BI318,0)</f>
        <v>0</v>
      </c>
      <c r="AH318" s="70">
        <f>IF(AQ318="0",BJ318,0)</f>
        <v>0</v>
      </c>
      <c r="AI318" s="67" t="s">
        <v>200</v>
      </c>
      <c r="AJ318" s="70">
        <f>IF(AN318=0,K318,0)</f>
        <v>0</v>
      </c>
      <c r="AK318" s="70">
        <f>IF(AN318=15,K318,0)</f>
        <v>0</v>
      </c>
      <c r="AL318" s="70">
        <f>IF(AN318=21,K318,0)</f>
        <v>0</v>
      </c>
      <c r="AN318" s="70">
        <v>21</v>
      </c>
      <c r="AO318" s="70">
        <f>H318*1</f>
        <v>0</v>
      </c>
      <c r="AP318" s="70">
        <f>H318*(1-1)</f>
        <v>0</v>
      </c>
      <c r="AQ318" s="71" t="s">
        <v>355</v>
      </c>
      <c r="AV318" s="70">
        <f>AW318+AX318</f>
        <v>0</v>
      </c>
      <c r="AW318" s="70">
        <f>G318*AO318</f>
        <v>0</v>
      </c>
      <c r="AX318" s="70">
        <f>G318*AP318</f>
        <v>0</v>
      </c>
      <c r="AY318" s="71" t="s">
        <v>356</v>
      </c>
      <c r="AZ318" s="71" t="s">
        <v>635</v>
      </c>
      <c r="BA318" s="67" t="s">
        <v>626</v>
      </c>
      <c r="BC318" s="70">
        <f>AW318+AX318</f>
        <v>0</v>
      </c>
      <c r="BD318" s="70">
        <f>H318/(100-BE318)*100</f>
        <v>0</v>
      </c>
      <c r="BE318" s="70">
        <v>0</v>
      </c>
      <c r="BF318" s="70">
        <f>318</f>
        <v>318</v>
      </c>
      <c r="BH318" s="70">
        <f>G318*AO318</f>
        <v>0</v>
      </c>
      <c r="BI318" s="70">
        <f>G318*AP318</f>
        <v>0</v>
      </c>
      <c r="BJ318" s="70">
        <f>G318*H318</f>
        <v>0</v>
      </c>
    </row>
    <row r="319" spans="1:12" ht="15">
      <c r="A319" s="48"/>
      <c r="B319" s="49"/>
      <c r="C319" s="727" t="s">
        <v>636</v>
      </c>
      <c r="D319" s="728"/>
      <c r="E319" s="728"/>
      <c r="F319" s="48" t="s">
        <v>70</v>
      </c>
      <c r="G319" s="48" t="s">
        <v>70</v>
      </c>
      <c r="H319" s="48" t="s">
        <v>70</v>
      </c>
      <c r="I319" s="50">
        <f>I320+I326+I332+I334</f>
        <v>0</v>
      </c>
      <c r="J319" s="50">
        <f>J320+J326+J332+J334</f>
        <v>0</v>
      </c>
      <c r="K319" s="50">
        <f>K320+K326+K332+K334</f>
        <v>0</v>
      </c>
      <c r="L319" s="51"/>
    </row>
    <row r="320" spans="1:47" ht="15">
      <c r="A320" s="88"/>
      <c r="B320" s="89" t="s">
        <v>314</v>
      </c>
      <c r="C320" s="710" t="s">
        <v>327</v>
      </c>
      <c r="D320" s="711"/>
      <c r="E320" s="711"/>
      <c r="F320" s="88" t="s">
        <v>70</v>
      </c>
      <c r="G320" s="88" t="s">
        <v>70</v>
      </c>
      <c r="H320" s="88" t="s">
        <v>70</v>
      </c>
      <c r="I320" s="90">
        <f>SUM(I321:I324)</f>
        <v>0</v>
      </c>
      <c r="J320" s="90">
        <f>SUM(J321:J324)</f>
        <v>0</v>
      </c>
      <c r="K320" s="90">
        <f>SUM(K321:K324)</f>
        <v>0</v>
      </c>
      <c r="L320" s="91"/>
      <c r="AI320" s="67" t="s">
        <v>203</v>
      </c>
      <c r="AS320" s="68">
        <f>SUM(AJ321:AJ324)</f>
        <v>0</v>
      </c>
      <c r="AT320" s="68">
        <f>SUM(AK321:AK324)</f>
        <v>0</v>
      </c>
      <c r="AU320" s="68">
        <f>SUM(AL321:AL324)</f>
        <v>0</v>
      </c>
    </row>
    <row r="321" spans="1:62" ht="15">
      <c r="A321" s="69" t="s">
        <v>637</v>
      </c>
      <c r="B321" s="69" t="s">
        <v>318</v>
      </c>
      <c r="C321" s="696" t="s">
        <v>319</v>
      </c>
      <c r="D321" s="693"/>
      <c r="E321" s="693"/>
      <c r="F321" s="69" t="s">
        <v>109</v>
      </c>
      <c r="G321" s="70">
        <v>1.5</v>
      </c>
      <c r="H321" s="580">
        <v>0</v>
      </c>
      <c r="I321" s="70">
        <f>G321*AO321</f>
        <v>0</v>
      </c>
      <c r="J321" s="70">
        <f>G321*AP321</f>
        <v>0</v>
      </c>
      <c r="K321" s="70">
        <f>G321*H321</f>
        <v>0</v>
      </c>
      <c r="L321" s="71" t="s">
        <v>282</v>
      </c>
      <c r="Z321" s="70">
        <f>IF(AQ321="5",BJ321,0)</f>
        <v>0</v>
      </c>
      <c r="AB321" s="70">
        <f>IF(AQ321="1",BH321,0)</f>
        <v>0</v>
      </c>
      <c r="AC321" s="70">
        <f>IF(AQ321="1",BI321,0)</f>
        <v>0</v>
      </c>
      <c r="AD321" s="70">
        <f>IF(AQ321="7",BH321,0)</f>
        <v>0</v>
      </c>
      <c r="AE321" s="70">
        <f>IF(AQ321="7",BI321,0)</f>
        <v>0</v>
      </c>
      <c r="AF321" s="70">
        <f>IF(AQ321="2",BH321,0)</f>
        <v>0</v>
      </c>
      <c r="AG321" s="70">
        <f>IF(AQ321="2",BI321,0)</f>
        <v>0</v>
      </c>
      <c r="AH321" s="70">
        <f>IF(AQ321="0",BJ321,0)</f>
        <v>0</v>
      </c>
      <c r="AI321" s="67" t="s">
        <v>203</v>
      </c>
      <c r="AJ321" s="70">
        <f>IF(AN321=0,K321,0)</f>
        <v>0</v>
      </c>
      <c r="AK321" s="70">
        <f>IF(AN321=15,K321,0)</f>
        <v>0</v>
      </c>
      <c r="AL321" s="70">
        <f>IF(AN321=21,K321,0)</f>
        <v>0</v>
      </c>
      <c r="AN321" s="70">
        <v>21</v>
      </c>
      <c r="AO321" s="70">
        <f>H321*0</f>
        <v>0</v>
      </c>
      <c r="AP321" s="70">
        <f>H321*(1-0)</f>
        <v>0</v>
      </c>
      <c r="AQ321" s="71" t="s">
        <v>106</v>
      </c>
      <c r="AV321" s="70">
        <f>AW321+AX321</f>
        <v>0</v>
      </c>
      <c r="AW321" s="70">
        <f>G321*AO321</f>
        <v>0</v>
      </c>
      <c r="AX321" s="70">
        <f>G321*AP321</f>
        <v>0</v>
      </c>
      <c r="AY321" s="71" t="s">
        <v>331</v>
      </c>
      <c r="AZ321" s="71" t="s">
        <v>638</v>
      </c>
      <c r="BA321" s="67" t="s">
        <v>639</v>
      </c>
      <c r="BC321" s="70">
        <f>AW321+AX321</f>
        <v>0</v>
      </c>
      <c r="BD321" s="70">
        <f>H321/(100-BE321)*100</f>
        <v>0</v>
      </c>
      <c r="BE321" s="70">
        <v>0</v>
      </c>
      <c r="BF321" s="70">
        <f>321</f>
        <v>321</v>
      </c>
      <c r="BH321" s="70">
        <f>G321*AO321</f>
        <v>0</v>
      </c>
      <c r="BI321" s="70">
        <f>G321*AP321</f>
        <v>0</v>
      </c>
      <c r="BJ321" s="70">
        <f>G321*H321</f>
        <v>0</v>
      </c>
    </row>
    <row r="322" spans="1:62" ht="15">
      <c r="A322" s="69" t="s">
        <v>640</v>
      </c>
      <c r="B322" s="69" t="s">
        <v>329</v>
      </c>
      <c r="C322" s="696" t="s">
        <v>330</v>
      </c>
      <c r="D322" s="693"/>
      <c r="E322" s="693"/>
      <c r="F322" s="69" t="s">
        <v>253</v>
      </c>
      <c r="G322" s="70">
        <v>0.1</v>
      </c>
      <c r="H322" s="580">
        <v>0</v>
      </c>
      <c r="I322" s="70">
        <f>G322*AO322</f>
        <v>0</v>
      </c>
      <c r="J322" s="70">
        <f>G322*AP322</f>
        <v>0</v>
      </c>
      <c r="K322" s="70">
        <f>G322*H322</f>
        <v>0</v>
      </c>
      <c r="L322" s="71" t="s">
        <v>282</v>
      </c>
      <c r="Z322" s="70">
        <f>IF(AQ322="5",BJ322,0)</f>
        <v>0</v>
      </c>
      <c r="AB322" s="70">
        <f>IF(AQ322="1",BH322,0)</f>
        <v>0</v>
      </c>
      <c r="AC322" s="70">
        <f>IF(AQ322="1",BI322,0)</f>
        <v>0</v>
      </c>
      <c r="AD322" s="70">
        <f>IF(AQ322="7",BH322,0)</f>
        <v>0</v>
      </c>
      <c r="AE322" s="70">
        <f>IF(AQ322="7",BI322,0)</f>
        <v>0</v>
      </c>
      <c r="AF322" s="70">
        <f>IF(AQ322="2",BH322,0)</f>
        <v>0</v>
      </c>
      <c r="AG322" s="70">
        <f>IF(AQ322="2",BI322,0)</f>
        <v>0</v>
      </c>
      <c r="AH322" s="70">
        <f>IF(AQ322="0",BJ322,0)</f>
        <v>0</v>
      </c>
      <c r="AI322" s="67" t="s">
        <v>203</v>
      </c>
      <c r="AJ322" s="70">
        <f>IF(AN322=0,K322,0)</f>
        <v>0</v>
      </c>
      <c r="AK322" s="70">
        <f>IF(AN322=15,K322,0)</f>
        <v>0</v>
      </c>
      <c r="AL322" s="70">
        <f>IF(AN322=21,K322,0)</f>
        <v>0</v>
      </c>
      <c r="AN322" s="70">
        <v>21</v>
      </c>
      <c r="AO322" s="70">
        <f>H322*0</f>
        <v>0</v>
      </c>
      <c r="AP322" s="70">
        <f>H322*(1-0)</f>
        <v>0</v>
      </c>
      <c r="AQ322" s="71" t="s">
        <v>106</v>
      </c>
      <c r="AV322" s="70">
        <f>AW322+AX322</f>
        <v>0</v>
      </c>
      <c r="AW322" s="70">
        <f>G322*AO322</f>
        <v>0</v>
      </c>
      <c r="AX322" s="70">
        <f>G322*AP322</f>
        <v>0</v>
      </c>
      <c r="AY322" s="71" t="s">
        <v>331</v>
      </c>
      <c r="AZ322" s="71" t="s">
        <v>638</v>
      </c>
      <c r="BA322" s="67" t="s">
        <v>639</v>
      </c>
      <c r="BC322" s="70">
        <f>AW322+AX322</f>
        <v>0</v>
      </c>
      <c r="BD322" s="70">
        <f>H322/(100-BE322)*100</f>
        <v>0</v>
      </c>
      <c r="BE322" s="70">
        <v>0</v>
      </c>
      <c r="BF322" s="70">
        <f>322</f>
        <v>322</v>
      </c>
      <c r="BH322" s="70">
        <f>G322*AO322</f>
        <v>0</v>
      </c>
      <c r="BI322" s="70">
        <f>G322*AP322</f>
        <v>0</v>
      </c>
      <c r="BJ322" s="70">
        <f>G322*H322</f>
        <v>0</v>
      </c>
    </row>
    <row r="323" spans="2:12" ht="12.75" customHeight="1">
      <c r="B323" s="75" t="s">
        <v>67</v>
      </c>
      <c r="C323" s="725" t="s">
        <v>641</v>
      </c>
      <c r="D323" s="726"/>
      <c r="E323" s="726"/>
      <c r="F323" s="726"/>
      <c r="G323" s="726"/>
      <c r="H323" s="726"/>
      <c r="I323" s="726"/>
      <c r="J323" s="726"/>
      <c r="K323" s="726"/>
      <c r="L323" s="726"/>
    </row>
    <row r="324" spans="1:62" ht="15">
      <c r="A324" s="69" t="s">
        <v>642</v>
      </c>
      <c r="B324" s="69" t="s">
        <v>335</v>
      </c>
      <c r="C324" s="696" t="s">
        <v>336</v>
      </c>
      <c r="D324" s="693"/>
      <c r="E324" s="693"/>
      <c r="F324" s="69" t="s">
        <v>337</v>
      </c>
      <c r="G324" s="70">
        <v>90</v>
      </c>
      <c r="H324" s="580">
        <v>0</v>
      </c>
      <c r="I324" s="70">
        <f>G324*AO324</f>
        <v>0</v>
      </c>
      <c r="J324" s="70">
        <f>G324*AP324</f>
        <v>0</v>
      </c>
      <c r="K324" s="70">
        <f>G324*H324</f>
        <v>0</v>
      </c>
      <c r="L324" s="71"/>
      <c r="Z324" s="70">
        <f>IF(AQ324="5",BJ324,0)</f>
        <v>0</v>
      </c>
      <c r="AB324" s="70">
        <f>IF(AQ324="1",BH324,0)</f>
        <v>0</v>
      </c>
      <c r="AC324" s="70">
        <f>IF(AQ324="1",BI324,0)</f>
        <v>0</v>
      </c>
      <c r="AD324" s="70">
        <f>IF(AQ324="7",BH324,0)</f>
        <v>0</v>
      </c>
      <c r="AE324" s="70">
        <f>IF(AQ324="7",BI324,0)</f>
        <v>0</v>
      </c>
      <c r="AF324" s="70">
        <f>IF(AQ324="2",BH324,0)</f>
        <v>0</v>
      </c>
      <c r="AG324" s="70">
        <f>IF(AQ324="2",BI324,0)</f>
        <v>0</v>
      </c>
      <c r="AH324" s="70">
        <f>IF(AQ324="0",BJ324,0)</f>
        <v>0</v>
      </c>
      <c r="AI324" s="67" t="s">
        <v>203</v>
      </c>
      <c r="AJ324" s="70">
        <f>IF(AN324=0,K324,0)</f>
        <v>0</v>
      </c>
      <c r="AK324" s="70">
        <f>IF(AN324=15,K324,0)</f>
        <v>0</v>
      </c>
      <c r="AL324" s="70">
        <f>IF(AN324=21,K324,0)</f>
        <v>0</v>
      </c>
      <c r="AN324" s="70">
        <v>21</v>
      </c>
      <c r="AO324" s="70">
        <f>H324*0</f>
        <v>0</v>
      </c>
      <c r="AP324" s="70">
        <f>H324*(1-0)</f>
        <v>0</v>
      </c>
      <c r="AQ324" s="71" t="s">
        <v>124</v>
      </c>
      <c r="AV324" s="70">
        <f>AW324+AX324</f>
        <v>0</v>
      </c>
      <c r="AW324" s="70">
        <f>G324*AO324</f>
        <v>0</v>
      </c>
      <c r="AX324" s="70">
        <f>G324*AP324</f>
        <v>0</v>
      </c>
      <c r="AY324" s="71" t="s">
        <v>331</v>
      </c>
      <c r="AZ324" s="71" t="s">
        <v>638</v>
      </c>
      <c r="BA324" s="67" t="s">
        <v>639</v>
      </c>
      <c r="BC324" s="70">
        <f>AW324+AX324</f>
        <v>0</v>
      </c>
      <c r="BD324" s="70">
        <f>H324/(100-BE324)*100</f>
        <v>0</v>
      </c>
      <c r="BE324" s="70">
        <v>0</v>
      </c>
      <c r="BF324" s="70">
        <f>324</f>
        <v>324</v>
      </c>
      <c r="BH324" s="70">
        <f>G324*AO324</f>
        <v>0</v>
      </c>
      <c r="BI324" s="70">
        <f>G324*AP324</f>
        <v>0</v>
      </c>
      <c r="BJ324" s="70">
        <f>G324*H324</f>
        <v>0</v>
      </c>
    </row>
    <row r="325" spans="2:12" ht="38.7" customHeight="1">
      <c r="B325" s="75" t="s">
        <v>67</v>
      </c>
      <c r="C325" s="725" t="s">
        <v>643</v>
      </c>
      <c r="D325" s="726"/>
      <c r="E325" s="726"/>
      <c r="F325" s="726"/>
      <c r="G325" s="726"/>
      <c r="H325" s="726"/>
      <c r="I325" s="726"/>
      <c r="J325" s="726"/>
      <c r="K325" s="726"/>
      <c r="L325" s="726"/>
    </row>
    <row r="326" spans="1:47" ht="15">
      <c r="A326" s="88"/>
      <c r="B326" s="89" t="s">
        <v>226</v>
      </c>
      <c r="C326" s="710" t="s">
        <v>469</v>
      </c>
      <c r="D326" s="711"/>
      <c r="E326" s="711"/>
      <c r="F326" s="88" t="s">
        <v>70</v>
      </c>
      <c r="G326" s="88" t="s">
        <v>70</v>
      </c>
      <c r="H326" s="88" t="s">
        <v>70</v>
      </c>
      <c r="I326" s="90">
        <f>SUM(I327:I330)</f>
        <v>0</v>
      </c>
      <c r="J326" s="90">
        <f>SUM(J327:J330)</f>
        <v>0</v>
      </c>
      <c r="K326" s="90">
        <f>SUM(K327:K330)</f>
        <v>0</v>
      </c>
      <c r="L326" s="91"/>
      <c r="AI326" s="67" t="s">
        <v>203</v>
      </c>
      <c r="AS326" s="68">
        <f>SUM(AJ327:AJ330)</f>
        <v>0</v>
      </c>
      <c r="AT326" s="68">
        <f>SUM(AK327:AK330)</f>
        <v>0</v>
      </c>
      <c r="AU326" s="68">
        <f>SUM(AL327:AL330)</f>
        <v>0</v>
      </c>
    </row>
    <row r="327" spans="1:62" ht="15">
      <c r="A327" s="69" t="s">
        <v>644</v>
      </c>
      <c r="B327" s="69" t="s">
        <v>645</v>
      </c>
      <c r="C327" s="696" t="s">
        <v>646</v>
      </c>
      <c r="D327" s="693"/>
      <c r="E327" s="693"/>
      <c r="F327" s="69" t="s">
        <v>109</v>
      </c>
      <c r="G327" s="70">
        <v>2</v>
      </c>
      <c r="H327" s="580">
        <v>0</v>
      </c>
      <c r="I327" s="70">
        <f>G327*AO327</f>
        <v>0</v>
      </c>
      <c r="J327" s="70">
        <f>G327*AP327</f>
        <v>0</v>
      </c>
      <c r="K327" s="70">
        <f>G327*H327</f>
        <v>0</v>
      </c>
      <c r="L327" s="71" t="s">
        <v>120</v>
      </c>
      <c r="Z327" s="70">
        <f>IF(AQ327="5",BJ327,0)</f>
        <v>0</v>
      </c>
      <c r="AB327" s="70">
        <f>IF(AQ327="1",BH327,0)</f>
        <v>0</v>
      </c>
      <c r="AC327" s="70">
        <f>IF(AQ327="1",BI327,0)</f>
        <v>0</v>
      </c>
      <c r="AD327" s="70">
        <f>IF(AQ327="7",BH327,0)</f>
        <v>0</v>
      </c>
      <c r="AE327" s="70">
        <f>IF(AQ327="7",BI327,0)</f>
        <v>0</v>
      </c>
      <c r="AF327" s="70">
        <f>IF(AQ327="2",BH327,0)</f>
        <v>0</v>
      </c>
      <c r="AG327" s="70">
        <f>IF(AQ327="2",BI327,0)</f>
        <v>0</v>
      </c>
      <c r="AH327" s="70">
        <f>IF(AQ327="0",BJ327,0)</f>
        <v>0</v>
      </c>
      <c r="AI327" s="67" t="s">
        <v>203</v>
      </c>
      <c r="AJ327" s="70">
        <f>IF(AN327=0,K327,0)</f>
        <v>0</v>
      </c>
      <c r="AK327" s="70">
        <f>IF(AN327=15,K327,0)</f>
        <v>0</v>
      </c>
      <c r="AL327" s="70">
        <f>IF(AN327=21,K327,0)</f>
        <v>0</v>
      </c>
      <c r="AN327" s="70">
        <v>21</v>
      </c>
      <c r="AO327" s="70">
        <f>H327*0.307639123102867</f>
        <v>0</v>
      </c>
      <c r="AP327" s="70">
        <f>H327*(1-0.307639123102867)</f>
        <v>0</v>
      </c>
      <c r="AQ327" s="71" t="s">
        <v>106</v>
      </c>
      <c r="AV327" s="70">
        <f>AW327+AX327</f>
        <v>0</v>
      </c>
      <c r="AW327" s="70">
        <f>G327*AO327</f>
        <v>0</v>
      </c>
      <c r="AX327" s="70">
        <f>G327*AP327</f>
        <v>0</v>
      </c>
      <c r="AY327" s="71" t="s">
        <v>473</v>
      </c>
      <c r="AZ327" s="71" t="s">
        <v>647</v>
      </c>
      <c r="BA327" s="67" t="s">
        <v>639</v>
      </c>
      <c r="BC327" s="70">
        <f>AW327+AX327</f>
        <v>0</v>
      </c>
      <c r="BD327" s="70">
        <f>H327/(100-BE327)*100</f>
        <v>0</v>
      </c>
      <c r="BE327" s="70">
        <v>0</v>
      </c>
      <c r="BF327" s="70">
        <f>327</f>
        <v>327</v>
      </c>
      <c r="BH327" s="70">
        <f>G327*AO327</f>
        <v>0</v>
      </c>
      <c r="BI327" s="70">
        <f>G327*AP327</f>
        <v>0</v>
      </c>
      <c r="BJ327" s="70">
        <f>G327*H327</f>
        <v>0</v>
      </c>
    </row>
    <row r="328" spans="1:62" ht="15">
      <c r="A328" s="69" t="s">
        <v>648</v>
      </c>
      <c r="B328" s="69" t="s">
        <v>649</v>
      </c>
      <c r="C328" s="696" t="s">
        <v>650</v>
      </c>
      <c r="D328" s="693"/>
      <c r="E328" s="693"/>
      <c r="F328" s="69" t="s">
        <v>109</v>
      </c>
      <c r="G328" s="70">
        <v>2</v>
      </c>
      <c r="H328" s="580">
        <v>0</v>
      </c>
      <c r="I328" s="70">
        <f>G328*AO328</f>
        <v>0</v>
      </c>
      <c r="J328" s="70">
        <f>G328*AP328</f>
        <v>0</v>
      </c>
      <c r="K328" s="70">
        <f>G328*H328</f>
        <v>0</v>
      </c>
      <c r="L328" s="71" t="s">
        <v>120</v>
      </c>
      <c r="Z328" s="70">
        <f>IF(AQ328="5",BJ328,0)</f>
        <v>0</v>
      </c>
      <c r="AB328" s="70">
        <f>IF(AQ328="1",BH328,0)</f>
        <v>0</v>
      </c>
      <c r="AC328" s="70">
        <f>IF(AQ328="1",BI328,0)</f>
        <v>0</v>
      </c>
      <c r="AD328" s="70">
        <f>IF(AQ328="7",BH328,0)</f>
        <v>0</v>
      </c>
      <c r="AE328" s="70">
        <f>IF(AQ328="7",BI328,0)</f>
        <v>0</v>
      </c>
      <c r="AF328" s="70">
        <f>IF(AQ328="2",BH328,0)</f>
        <v>0</v>
      </c>
      <c r="AG328" s="70">
        <f>IF(AQ328="2",BI328,0)</f>
        <v>0</v>
      </c>
      <c r="AH328" s="70">
        <f>IF(AQ328="0",BJ328,0)</f>
        <v>0</v>
      </c>
      <c r="AI328" s="67" t="s">
        <v>203</v>
      </c>
      <c r="AJ328" s="70">
        <f>IF(AN328=0,K328,0)</f>
        <v>0</v>
      </c>
      <c r="AK328" s="70">
        <f>IF(AN328=15,K328,0)</f>
        <v>0</v>
      </c>
      <c r="AL328" s="70">
        <f>IF(AN328=21,K328,0)</f>
        <v>0</v>
      </c>
      <c r="AN328" s="70">
        <v>21</v>
      </c>
      <c r="AO328" s="70">
        <f>H328*0</f>
        <v>0</v>
      </c>
      <c r="AP328" s="70">
        <f>H328*(1-0)</f>
        <v>0</v>
      </c>
      <c r="AQ328" s="71" t="s">
        <v>106</v>
      </c>
      <c r="AV328" s="70">
        <f>AW328+AX328</f>
        <v>0</v>
      </c>
      <c r="AW328" s="70">
        <f>G328*AO328</f>
        <v>0</v>
      </c>
      <c r="AX328" s="70">
        <f>G328*AP328</f>
        <v>0</v>
      </c>
      <c r="AY328" s="71" t="s">
        <v>473</v>
      </c>
      <c r="AZ328" s="71" t="s">
        <v>647</v>
      </c>
      <c r="BA328" s="67" t="s">
        <v>639</v>
      </c>
      <c r="BC328" s="70">
        <f>AW328+AX328</f>
        <v>0</v>
      </c>
      <c r="BD328" s="70">
        <f>H328/(100-BE328)*100</f>
        <v>0</v>
      </c>
      <c r="BE328" s="70">
        <v>0</v>
      </c>
      <c r="BF328" s="70">
        <f>328</f>
        <v>328</v>
      </c>
      <c r="BH328" s="70">
        <f>G328*AO328</f>
        <v>0</v>
      </c>
      <c r="BI328" s="70">
        <f>G328*AP328</f>
        <v>0</v>
      </c>
      <c r="BJ328" s="70">
        <f>G328*H328</f>
        <v>0</v>
      </c>
    </row>
    <row r="329" spans="1:62" ht="15">
      <c r="A329" s="69" t="s">
        <v>651</v>
      </c>
      <c r="B329" s="69" t="s">
        <v>652</v>
      </c>
      <c r="C329" s="696" t="s">
        <v>653</v>
      </c>
      <c r="D329" s="693"/>
      <c r="E329" s="693"/>
      <c r="F329" s="69" t="s">
        <v>253</v>
      </c>
      <c r="G329" s="70">
        <v>0.5</v>
      </c>
      <c r="H329" s="580">
        <v>0</v>
      </c>
      <c r="I329" s="70">
        <f>G329*AO329</f>
        <v>0</v>
      </c>
      <c r="J329" s="70">
        <f>G329*AP329</f>
        <v>0</v>
      </c>
      <c r="K329" s="70">
        <f>G329*H329</f>
        <v>0</v>
      </c>
      <c r="L329" s="71" t="s">
        <v>120</v>
      </c>
      <c r="Z329" s="70">
        <f>IF(AQ329="5",BJ329,0)</f>
        <v>0</v>
      </c>
      <c r="AB329" s="70">
        <f>IF(AQ329="1",BH329,0)</f>
        <v>0</v>
      </c>
      <c r="AC329" s="70">
        <f>IF(AQ329="1",BI329,0)</f>
        <v>0</v>
      </c>
      <c r="AD329" s="70">
        <f>IF(AQ329="7",BH329,0)</f>
        <v>0</v>
      </c>
      <c r="AE329" s="70">
        <f>IF(AQ329="7",BI329,0)</f>
        <v>0</v>
      </c>
      <c r="AF329" s="70">
        <f>IF(AQ329="2",BH329,0)</f>
        <v>0</v>
      </c>
      <c r="AG329" s="70">
        <f>IF(AQ329="2",BI329,0)</f>
        <v>0</v>
      </c>
      <c r="AH329" s="70">
        <f>IF(AQ329="0",BJ329,0)</f>
        <v>0</v>
      </c>
      <c r="AI329" s="67" t="s">
        <v>203</v>
      </c>
      <c r="AJ329" s="70">
        <f>IF(AN329=0,K329,0)</f>
        <v>0</v>
      </c>
      <c r="AK329" s="70">
        <f>IF(AN329=15,K329,0)</f>
        <v>0</v>
      </c>
      <c r="AL329" s="70">
        <f>IF(AN329=21,K329,0)</f>
        <v>0</v>
      </c>
      <c r="AN329" s="70">
        <v>21</v>
      </c>
      <c r="AO329" s="70">
        <f>H329*0.798402753872633</f>
        <v>0</v>
      </c>
      <c r="AP329" s="70">
        <f>H329*(1-0.798402753872633)</f>
        <v>0</v>
      </c>
      <c r="AQ329" s="71" t="s">
        <v>106</v>
      </c>
      <c r="AV329" s="70">
        <f>AW329+AX329</f>
        <v>0</v>
      </c>
      <c r="AW329" s="70">
        <f>G329*AO329</f>
        <v>0</v>
      </c>
      <c r="AX329" s="70">
        <f>G329*AP329</f>
        <v>0</v>
      </c>
      <c r="AY329" s="71" t="s">
        <v>473</v>
      </c>
      <c r="AZ329" s="71" t="s">
        <v>647</v>
      </c>
      <c r="BA329" s="67" t="s">
        <v>639</v>
      </c>
      <c r="BC329" s="70">
        <f>AW329+AX329</f>
        <v>0</v>
      </c>
      <c r="BD329" s="70">
        <f>H329/(100-BE329)*100</f>
        <v>0</v>
      </c>
      <c r="BE329" s="70">
        <v>0</v>
      </c>
      <c r="BF329" s="70">
        <f>329</f>
        <v>329</v>
      </c>
      <c r="BH329" s="70">
        <f>G329*AO329</f>
        <v>0</v>
      </c>
      <c r="BI329" s="70">
        <f>G329*AP329</f>
        <v>0</v>
      </c>
      <c r="BJ329" s="70">
        <f>G329*H329</f>
        <v>0</v>
      </c>
    </row>
    <row r="330" spans="1:62" ht="15">
      <c r="A330" s="69" t="s">
        <v>654</v>
      </c>
      <c r="B330" s="69" t="s">
        <v>396</v>
      </c>
      <c r="C330" s="696" t="s">
        <v>655</v>
      </c>
      <c r="D330" s="693"/>
      <c r="E330" s="693"/>
      <c r="F330" s="69" t="s">
        <v>109</v>
      </c>
      <c r="G330" s="70">
        <v>2</v>
      </c>
      <c r="H330" s="580">
        <v>0</v>
      </c>
      <c r="I330" s="70">
        <f>G330*AO330</f>
        <v>0</v>
      </c>
      <c r="J330" s="70">
        <f>G330*AP330</f>
        <v>0</v>
      </c>
      <c r="K330" s="70">
        <f>G330*H330</f>
        <v>0</v>
      </c>
      <c r="L330" s="71" t="s">
        <v>120</v>
      </c>
      <c r="Z330" s="70">
        <f>IF(AQ330="5",BJ330,0)</f>
        <v>0</v>
      </c>
      <c r="AB330" s="70">
        <f>IF(AQ330="1",BH330,0)</f>
        <v>0</v>
      </c>
      <c r="AC330" s="70">
        <f>IF(AQ330="1",BI330,0)</f>
        <v>0</v>
      </c>
      <c r="AD330" s="70">
        <f>IF(AQ330="7",BH330,0)</f>
        <v>0</v>
      </c>
      <c r="AE330" s="70">
        <f>IF(AQ330="7",BI330,0)</f>
        <v>0</v>
      </c>
      <c r="AF330" s="70">
        <f>IF(AQ330="2",BH330,0)</f>
        <v>0</v>
      </c>
      <c r="AG330" s="70">
        <f>IF(AQ330="2",BI330,0)</f>
        <v>0</v>
      </c>
      <c r="AH330" s="70">
        <f>IF(AQ330="0",BJ330,0)</f>
        <v>0</v>
      </c>
      <c r="AI330" s="67" t="s">
        <v>203</v>
      </c>
      <c r="AJ330" s="70">
        <f>IF(AN330=0,K330,0)</f>
        <v>0</v>
      </c>
      <c r="AK330" s="70">
        <f>IF(AN330=15,K330,0)</f>
        <v>0</v>
      </c>
      <c r="AL330" s="70">
        <f>IF(AN330=21,K330,0)</f>
        <v>0</v>
      </c>
      <c r="AN330" s="70">
        <v>21</v>
      </c>
      <c r="AO330" s="70">
        <f>H330*0.460487179487179</f>
        <v>0</v>
      </c>
      <c r="AP330" s="70">
        <f>H330*(1-0.460487179487179)</f>
        <v>0</v>
      </c>
      <c r="AQ330" s="71" t="s">
        <v>114</v>
      </c>
      <c r="AV330" s="70">
        <f>AW330+AX330</f>
        <v>0</v>
      </c>
      <c r="AW330" s="70">
        <f>G330*AO330</f>
        <v>0</v>
      </c>
      <c r="AX330" s="70">
        <f>G330*AP330</f>
        <v>0</v>
      </c>
      <c r="AY330" s="71" t="s">
        <v>473</v>
      </c>
      <c r="AZ330" s="71" t="s">
        <v>647</v>
      </c>
      <c r="BA330" s="67" t="s">
        <v>639</v>
      </c>
      <c r="BC330" s="70">
        <f>AW330+AX330</f>
        <v>0</v>
      </c>
      <c r="BD330" s="70">
        <f>H330/(100-BE330)*100</f>
        <v>0</v>
      </c>
      <c r="BE330" s="70">
        <v>0</v>
      </c>
      <c r="BF330" s="70">
        <f>330</f>
        <v>330</v>
      </c>
      <c r="BH330" s="70">
        <f>G330*AO330</f>
        <v>0</v>
      </c>
      <c r="BI330" s="70">
        <f>G330*AP330</f>
        <v>0</v>
      </c>
      <c r="BJ330" s="70">
        <f>G330*H330</f>
        <v>0</v>
      </c>
    </row>
    <row r="331" spans="2:12" ht="12.75" customHeight="1">
      <c r="B331" s="75" t="s">
        <v>67</v>
      </c>
      <c r="C331" s="725" t="s">
        <v>656</v>
      </c>
      <c r="D331" s="726"/>
      <c r="E331" s="726"/>
      <c r="F331" s="726"/>
      <c r="G331" s="726"/>
      <c r="H331" s="726"/>
      <c r="I331" s="726"/>
      <c r="J331" s="726"/>
      <c r="K331" s="726"/>
      <c r="L331" s="726"/>
    </row>
    <row r="332" spans="1:47" ht="15">
      <c r="A332" s="88"/>
      <c r="B332" s="89" t="s">
        <v>476</v>
      </c>
      <c r="C332" s="710" t="s">
        <v>477</v>
      </c>
      <c r="D332" s="711"/>
      <c r="E332" s="711"/>
      <c r="F332" s="88" t="s">
        <v>70</v>
      </c>
      <c r="G332" s="88" t="s">
        <v>70</v>
      </c>
      <c r="H332" s="88" t="s">
        <v>70</v>
      </c>
      <c r="I332" s="90">
        <f>SUM(I333:I333)</f>
        <v>0</v>
      </c>
      <c r="J332" s="90">
        <f>SUM(J333:J333)</f>
        <v>0</v>
      </c>
      <c r="K332" s="90">
        <f>SUM(K333:K333)</f>
        <v>0</v>
      </c>
      <c r="L332" s="91"/>
      <c r="AI332" s="67" t="s">
        <v>203</v>
      </c>
      <c r="AS332" s="68">
        <f>SUM(AJ333:AJ333)</f>
        <v>0</v>
      </c>
      <c r="AT332" s="68">
        <f>SUM(AK333:AK333)</f>
        <v>0</v>
      </c>
      <c r="AU332" s="68">
        <f>SUM(AL333:AL333)</f>
        <v>0</v>
      </c>
    </row>
    <row r="333" spans="1:62" ht="15">
      <c r="A333" s="69" t="s">
        <v>657</v>
      </c>
      <c r="B333" s="69" t="s">
        <v>479</v>
      </c>
      <c r="C333" s="696" t="s">
        <v>480</v>
      </c>
      <c r="D333" s="693"/>
      <c r="E333" s="693"/>
      <c r="F333" s="69" t="s">
        <v>132</v>
      </c>
      <c r="G333" s="70">
        <v>3.6</v>
      </c>
      <c r="H333" s="580">
        <v>0</v>
      </c>
      <c r="I333" s="70">
        <f>G333*AO333</f>
        <v>0</v>
      </c>
      <c r="J333" s="70">
        <f>G333*AP333</f>
        <v>0</v>
      </c>
      <c r="K333" s="70">
        <f>G333*H333</f>
        <v>0</v>
      </c>
      <c r="L333" s="71" t="s">
        <v>481</v>
      </c>
      <c r="Z333" s="70">
        <f>IF(AQ333="5",BJ333,0)</f>
        <v>0</v>
      </c>
      <c r="AB333" s="70">
        <f>IF(AQ333="1",BH333,0)</f>
        <v>0</v>
      </c>
      <c r="AC333" s="70">
        <f>IF(AQ333="1",BI333,0)</f>
        <v>0</v>
      </c>
      <c r="AD333" s="70">
        <f>IF(AQ333="7",BH333,0)</f>
        <v>0</v>
      </c>
      <c r="AE333" s="70">
        <f>IF(AQ333="7",BI333,0)</f>
        <v>0</v>
      </c>
      <c r="AF333" s="70">
        <f>IF(AQ333="2",BH333,0)</f>
        <v>0</v>
      </c>
      <c r="AG333" s="70">
        <f>IF(AQ333="2",BI333,0)</f>
        <v>0</v>
      </c>
      <c r="AH333" s="70">
        <f>IF(AQ333="0",BJ333,0)</f>
        <v>0</v>
      </c>
      <c r="AI333" s="67" t="s">
        <v>203</v>
      </c>
      <c r="AJ333" s="70">
        <f>IF(AN333=0,K333,0)</f>
        <v>0</v>
      </c>
      <c r="AK333" s="70">
        <f>IF(AN333=15,K333,0)</f>
        <v>0</v>
      </c>
      <c r="AL333" s="70">
        <f>IF(AN333=21,K333,0)</f>
        <v>0</v>
      </c>
      <c r="AN333" s="70">
        <v>21</v>
      </c>
      <c r="AO333" s="70">
        <f>H333*0</f>
        <v>0</v>
      </c>
      <c r="AP333" s="70">
        <f>H333*(1-0)</f>
        <v>0</v>
      </c>
      <c r="AQ333" s="71" t="s">
        <v>124</v>
      </c>
      <c r="AV333" s="70">
        <f>AW333+AX333</f>
        <v>0</v>
      </c>
      <c r="AW333" s="70">
        <f>G333*AO333</f>
        <v>0</v>
      </c>
      <c r="AX333" s="70">
        <f>G333*AP333</f>
        <v>0</v>
      </c>
      <c r="AY333" s="71" t="s">
        <v>482</v>
      </c>
      <c r="AZ333" s="71" t="s">
        <v>658</v>
      </c>
      <c r="BA333" s="67" t="s">
        <v>639</v>
      </c>
      <c r="BC333" s="70">
        <f>AW333+AX333</f>
        <v>0</v>
      </c>
      <c r="BD333" s="70">
        <f>H333/(100-BE333)*100</f>
        <v>0</v>
      </c>
      <c r="BE333" s="70">
        <v>0</v>
      </c>
      <c r="BF333" s="70">
        <f>333</f>
        <v>333</v>
      </c>
      <c r="BH333" s="70">
        <f>G333*AO333</f>
        <v>0</v>
      </c>
      <c r="BI333" s="70">
        <f>G333*AP333</f>
        <v>0</v>
      </c>
      <c r="BJ333" s="70">
        <f>G333*H333</f>
        <v>0</v>
      </c>
    </row>
    <row r="334" spans="1:47" ht="15">
      <c r="A334" s="88"/>
      <c r="B334" s="89"/>
      <c r="C334" s="710" t="s">
        <v>52</v>
      </c>
      <c r="D334" s="711"/>
      <c r="E334" s="711"/>
      <c r="F334" s="88" t="s">
        <v>70</v>
      </c>
      <c r="G334" s="88" t="s">
        <v>70</v>
      </c>
      <c r="H334" s="88" t="s">
        <v>70</v>
      </c>
      <c r="I334" s="90">
        <f>SUM(I335:I340)</f>
        <v>0</v>
      </c>
      <c r="J334" s="90">
        <f>SUM(J335:J340)</f>
        <v>0</v>
      </c>
      <c r="K334" s="90">
        <f>SUM(K335:K340)</f>
        <v>0</v>
      </c>
      <c r="L334" s="91"/>
      <c r="AI334" s="67" t="s">
        <v>203</v>
      </c>
      <c r="AS334" s="68">
        <f>SUM(AJ335:AJ340)</f>
        <v>0</v>
      </c>
      <c r="AT334" s="68">
        <f>SUM(AK335:AK340)</f>
        <v>0</v>
      </c>
      <c r="AU334" s="68">
        <f>SUM(AL335:AL340)</f>
        <v>0</v>
      </c>
    </row>
    <row r="335" spans="1:62" ht="15">
      <c r="A335" s="69" t="s">
        <v>659</v>
      </c>
      <c r="B335" s="69" t="s">
        <v>353</v>
      </c>
      <c r="C335" s="696" t="s">
        <v>660</v>
      </c>
      <c r="D335" s="693"/>
      <c r="E335" s="693"/>
      <c r="F335" s="69" t="s">
        <v>132</v>
      </c>
      <c r="G335" s="70">
        <v>0.2</v>
      </c>
      <c r="H335" s="580">
        <v>0</v>
      </c>
      <c r="I335" s="70">
        <f>G335*AO335</f>
        <v>0</v>
      </c>
      <c r="J335" s="70">
        <f>G335*AP335</f>
        <v>0</v>
      </c>
      <c r="K335" s="70">
        <f>G335*H335</f>
        <v>0</v>
      </c>
      <c r="L335" s="71" t="s">
        <v>282</v>
      </c>
      <c r="Z335" s="70">
        <f>IF(AQ335="5",BJ335,0)</f>
        <v>0</v>
      </c>
      <c r="AB335" s="70">
        <f>IF(AQ335="1",BH335,0)</f>
        <v>0</v>
      </c>
      <c r="AC335" s="70">
        <f>IF(AQ335="1",BI335,0)</f>
        <v>0</v>
      </c>
      <c r="AD335" s="70">
        <f>IF(AQ335="7",BH335,0)</f>
        <v>0</v>
      </c>
      <c r="AE335" s="70">
        <f>IF(AQ335="7",BI335,0)</f>
        <v>0</v>
      </c>
      <c r="AF335" s="70">
        <f>IF(AQ335="2",BH335,0)</f>
        <v>0</v>
      </c>
      <c r="AG335" s="70">
        <f>IF(AQ335="2",BI335,0)</f>
        <v>0</v>
      </c>
      <c r="AH335" s="70">
        <f>IF(AQ335="0",BJ335,0)</f>
        <v>0</v>
      </c>
      <c r="AI335" s="67" t="s">
        <v>203</v>
      </c>
      <c r="AJ335" s="70">
        <f>IF(AN335=0,K335,0)</f>
        <v>0</v>
      </c>
      <c r="AK335" s="70">
        <f>IF(AN335=15,K335,0)</f>
        <v>0</v>
      </c>
      <c r="AL335" s="70">
        <f>IF(AN335=21,K335,0)</f>
        <v>0</v>
      </c>
      <c r="AN335" s="70">
        <v>21</v>
      </c>
      <c r="AO335" s="70">
        <f>H335*1</f>
        <v>0</v>
      </c>
      <c r="AP335" s="70">
        <f>H335*(1-1)</f>
        <v>0</v>
      </c>
      <c r="AQ335" s="71" t="s">
        <v>355</v>
      </c>
      <c r="AV335" s="70">
        <f>AW335+AX335</f>
        <v>0</v>
      </c>
      <c r="AW335" s="70">
        <f>G335*AO335</f>
        <v>0</v>
      </c>
      <c r="AX335" s="70">
        <f>G335*AP335</f>
        <v>0</v>
      </c>
      <c r="AY335" s="71" t="s">
        <v>356</v>
      </c>
      <c r="AZ335" s="71" t="s">
        <v>661</v>
      </c>
      <c r="BA335" s="67" t="s">
        <v>639</v>
      </c>
      <c r="BC335" s="70">
        <f>AW335+AX335</f>
        <v>0</v>
      </c>
      <c r="BD335" s="70">
        <f>H335/(100-BE335)*100</f>
        <v>0</v>
      </c>
      <c r="BE335" s="70">
        <v>0</v>
      </c>
      <c r="BF335" s="70">
        <f>335</f>
        <v>335</v>
      </c>
      <c r="BH335" s="70">
        <f>G335*AO335</f>
        <v>0</v>
      </c>
      <c r="BI335" s="70">
        <f>G335*AP335</f>
        <v>0</v>
      </c>
      <c r="BJ335" s="70">
        <f>G335*H335</f>
        <v>0</v>
      </c>
    </row>
    <row r="336" spans="2:12" ht="12.75" customHeight="1">
      <c r="B336" s="75" t="s">
        <v>67</v>
      </c>
      <c r="C336" s="725" t="s">
        <v>358</v>
      </c>
      <c r="D336" s="726"/>
      <c r="E336" s="726"/>
      <c r="F336" s="726"/>
      <c r="G336" s="726"/>
      <c r="H336" s="726"/>
      <c r="I336" s="726"/>
      <c r="J336" s="726"/>
      <c r="K336" s="726"/>
      <c r="L336" s="726"/>
    </row>
    <row r="337" spans="1:62" ht="15">
      <c r="A337" s="72" t="s">
        <v>662</v>
      </c>
      <c r="B337" s="72" t="s">
        <v>370</v>
      </c>
      <c r="C337" s="712" t="s">
        <v>663</v>
      </c>
      <c r="D337" s="693"/>
      <c r="E337" s="713"/>
      <c r="F337" s="72" t="s">
        <v>132</v>
      </c>
      <c r="G337" s="73">
        <v>2.1</v>
      </c>
      <c r="H337" s="581">
        <v>0</v>
      </c>
      <c r="I337" s="73">
        <f>G337*AO337</f>
        <v>0</v>
      </c>
      <c r="J337" s="73">
        <f>G337*AP337</f>
        <v>0</v>
      </c>
      <c r="K337" s="73">
        <f>G337*H337</f>
        <v>0</v>
      </c>
      <c r="L337" s="74" t="s">
        <v>120</v>
      </c>
      <c r="Z337" s="70">
        <f>IF(AQ337="5",BJ337,0)</f>
        <v>0</v>
      </c>
      <c r="AB337" s="70">
        <f>IF(AQ337="1",BH337,0)</f>
        <v>0</v>
      </c>
      <c r="AC337" s="70">
        <f>IF(AQ337="1",BI337,0)</f>
        <v>0</v>
      </c>
      <c r="AD337" s="70">
        <f>IF(AQ337="7",BH337,0)</f>
        <v>0</v>
      </c>
      <c r="AE337" s="70">
        <f>IF(AQ337="7",BI337,0)</f>
        <v>0</v>
      </c>
      <c r="AF337" s="70">
        <f>IF(AQ337="2",BH337,0)</f>
        <v>0</v>
      </c>
      <c r="AG337" s="70">
        <f>IF(AQ337="2",BI337,0)</f>
        <v>0</v>
      </c>
      <c r="AH337" s="70">
        <f>IF(AQ337="0",BJ337,0)</f>
        <v>0</v>
      </c>
      <c r="AI337" s="67" t="s">
        <v>203</v>
      </c>
      <c r="AJ337" s="70">
        <f>IF(AN337=0,K337,0)</f>
        <v>0</v>
      </c>
      <c r="AK337" s="70">
        <f>IF(AN337=15,K337,0)</f>
        <v>0</v>
      </c>
      <c r="AL337" s="70">
        <f>IF(AN337=21,K337,0)</f>
        <v>0</v>
      </c>
      <c r="AN337" s="70">
        <v>21</v>
      </c>
      <c r="AO337" s="70">
        <f>H337*1</f>
        <v>0</v>
      </c>
      <c r="AP337" s="70">
        <f>H337*(1-1)</f>
        <v>0</v>
      </c>
      <c r="AQ337" s="71" t="s">
        <v>355</v>
      </c>
      <c r="AV337" s="70">
        <f>AW337+AX337</f>
        <v>0</v>
      </c>
      <c r="AW337" s="70">
        <f>G337*AO337</f>
        <v>0</v>
      </c>
      <c r="AX337" s="70">
        <f>G337*AP337</f>
        <v>0</v>
      </c>
      <c r="AY337" s="71" t="s">
        <v>356</v>
      </c>
      <c r="AZ337" s="71" t="s">
        <v>661</v>
      </c>
      <c r="BA337" s="67" t="s">
        <v>639</v>
      </c>
      <c r="BC337" s="70">
        <f>AW337+AX337</f>
        <v>0</v>
      </c>
      <c r="BD337" s="70">
        <f>H337/(100-BE337)*100</f>
        <v>0</v>
      </c>
      <c r="BE337" s="70">
        <v>0</v>
      </c>
      <c r="BF337" s="70">
        <f>337</f>
        <v>337</v>
      </c>
      <c r="BH337" s="70">
        <f>G337*AO337</f>
        <v>0</v>
      </c>
      <c r="BI337" s="70">
        <f>G337*AP337</f>
        <v>0</v>
      </c>
      <c r="BJ337" s="70">
        <f>G337*H337</f>
        <v>0</v>
      </c>
    </row>
    <row r="338" spans="2:12" ht="12.75" customHeight="1">
      <c r="B338" s="75" t="s">
        <v>67</v>
      </c>
      <c r="C338" s="725" t="s">
        <v>593</v>
      </c>
      <c r="D338" s="726"/>
      <c r="E338" s="726"/>
      <c r="F338" s="726"/>
      <c r="G338" s="726"/>
      <c r="H338" s="726"/>
      <c r="I338" s="726"/>
      <c r="J338" s="726"/>
      <c r="K338" s="726"/>
      <c r="L338" s="726"/>
    </row>
    <row r="339" spans="1:62" ht="15">
      <c r="A339" s="69" t="s">
        <v>664</v>
      </c>
      <c r="B339" s="69" t="s">
        <v>405</v>
      </c>
      <c r="C339" s="696" t="s">
        <v>568</v>
      </c>
      <c r="D339" s="693"/>
      <c r="E339" s="693"/>
      <c r="F339" s="69" t="s">
        <v>407</v>
      </c>
      <c r="G339" s="70">
        <v>10</v>
      </c>
      <c r="H339" s="580">
        <v>0</v>
      </c>
      <c r="I339" s="70">
        <f>G339*AO339</f>
        <v>0</v>
      </c>
      <c r="J339" s="70">
        <f>G339*AP339</f>
        <v>0</v>
      </c>
      <c r="K339" s="70">
        <f>G339*H339</f>
        <v>0</v>
      </c>
      <c r="L339" s="71"/>
      <c r="Z339" s="70">
        <f>IF(AQ339="5",BJ339,0)</f>
        <v>0</v>
      </c>
      <c r="AB339" s="70">
        <f>IF(AQ339="1",BH339,0)</f>
        <v>0</v>
      </c>
      <c r="AC339" s="70">
        <f>IF(AQ339="1",BI339,0)</f>
        <v>0</v>
      </c>
      <c r="AD339" s="70">
        <f>IF(AQ339="7",BH339,0)</f>
        <v>0</v>
      </c>
      <c r="AE339" s="70">
        <f>IF(AQ339="7",BI339,0)</f>
        <v>0</v>
      </c>
      <c r="AF339" s="70">
        <f>IF(AQ339="2",BH339,0)</f>
        <v>0</v>
      </c>
      <c r="AG339" s="70">
        <f>IF(AQ339="2",BI339,0)</f>
        <v>0</v>
      </c>
      <c r="AH339" s="70">
        <f>IF(AQ339="0",BJ339,0)</f>
        <v>0</v>
      </c>
      <c r="AI339" s="67" t="s">
        <v>203</v>
      </c>
      <c r="AJ339" s="70">
        <f>IF(AN339=0,K339,0)</f>
        <v>0</v>
      </c>
      <c r="AK339" s="70">
        <f>IF(AN339=15,K339,0)</f>
        <v>0</v>
      </c>
      <c r="AL339" s="70">
        <f>IF(AN339=21,K339,0)</f>
        <v>0</v>
      </c>
      <c r="AN339" s="70">
        <v>21</v>
      </c>
      <c r="AO339" s="70">
        <f>H339*1</f>
        <v>0</v>
      </c>
      <c r="AP339" s="70">
        <f>H339*(1-1)</f>
        <v>0</v>
      </c>
      <c r="AQ339" s="71" t="s">
        <v>355</v>
      </c>
      <c r="AV339" s="70">
        <f>AW339+AX339</f>
        <v>0</v>
      </c>
      <c r="AW339" s="70">
        <f>G339*AO339</f>
        <v>0</v>
      </c>
      <c r="AX339" s="70">
        <f>G339*AP339</f>
        <v>0</v>
      </c>
      <c r="AY339" s="71" t="s">
        <v>356</v>
      </c>
      <c r="AZ339" s="71" t="s">
        <v>661</v>
      </c>
      <c r="BA339" s="67" t="s">
        <v>639</v>
      </c>
      <c r="BC339" s="70">
        <f>AW339+AX339</f>
        <v>0</v>
      </c>
      <c r="BD339" s="70">
        <f>H339/(100-BE339)*100</f>
        <v>0</v>
      </c>
      <c r="BE339" s="70">
        <v>0</v>
      </c>
      <c r="BF339" s="70">
        <f>339</f>
        <v>339</v>
      </c>
      <c r="BH339" s="70">
        <f>G339*AO339</f>
        <v>0</v>
      </c>
      <c r="BI339" s="70">
        <f>G339*AP339</f>
        <v>0</v>
      </c>
      <c r="BJ339" s="70">
        <f>G339*H339</f>
        <v>0</v>
      </c>
    </row>
    <row r="340" spans="1:62" ht="15">
      <c r="A340" s="69" t="s">
        <v>665</v>
      </c>
      <c r="B340" s="69" t="s">
        <v>412</v>
      </c>
      <c r="C340" s="696" t="s">
        <v>666</v>
      </c>
      <c r="D340" s="693"/>
      <c r="E340" s="693"/>
      <c r="F340" s="69" t="s">
        <v>407</v>
      </c>
      <c r="G340" s="70">
        <v>0.8</v>
      </c>
      <c r="H340" s="580">
        <v>0</v>
      </c>
      <c r="I340" s="70">
        <f>G340*AO340</f>
        <v>0</v>
      </c>
      <c r="J340" s="70">
        <f>G340*AP340</f>
        <v>0</v>
      </c>
      <c r="K340" s="70">
        <f>G340*H340</f>
        <v>0</v>
      </c>
      <c r="L340" s="71"/>
      <c r="Z340" s="70">
        <f>IF(AQ340="5",BJ340,0)</f>
        <v>0</v>
      </c>
      <c r="AB340" s="70">
        <f>IF(AQ340="1",BH340,0)</f>
        <v>0</v>
      </c>
      <c r="AC340" s="70">
        <f>IF(AQ340="1",BI340,0)</f>
        <v>0</v>
      </c>
      <c r="AD340" s="70">
        <f>IF(AQ340="7",BH340,0)</f>
        <v>0</v>
      </c>
      <c r="AE340" s="70">
        <f>IF(AQ340="7",BI340,0)</f>
        <v>0</v>
      </c>
      <c r="AF340" s="70">
        <f>IF(AQ340="2",BH340,0)</f>
        <v>0</v>
      </c>
      <c r="AG340" s="70">
        <f>IF(AQ340="2",BI340,0)</f>
        <v>0</v>
      </c>
      <c r="AH340" s="70">
        <f>IF(AQ340="0",BJ340,0)</f>
        <v>0</v>
      </c>
      <c r="AI340" s="67" t="s">
        <v>203</v>
      </c>
      <c r="AJ340" s="70">
        <f>IF(AN340=0,K340,0)</f>
        <v>0</v>
      </c>
      <c r="AK340" s="70">
        <f>IF(AN340=15,K340,0)</f>
        <v>0</v>
      </c>
      <c r="AL340" s="70">
        <f>IF(AN340=21,K340,0)</f>
        <v>0</v>
      </c>
      <c r="AN340" s="70">
        <v>21</v>
      </c>
      <c r="AO340" s="70">
        <f>H340*1</f>
        <v>0</v>
      </c>
      <c r="AP340" s="70">
        <f>H340*(1-1)</f>
        <v>0</v>
      </c>
      <c r="AQ340" s="71" t="s">
        <v>355</v>
      </c>
      <c r="AV340" s="70">
        <f>AW340+AX340</f>
        <v>0</v>
      </c>
      <c r="AW340" s="70">
        <f>G340*AO340</f>
        <v>0</v>
      </c>
      <c r="AX340" s="70">
        <f>G340*AP340</f>
        <v>0</v>
      </c>
      <c r="AY340" s="71" t="s">
        <v>356</v>
      </c>
      <c r="AZ340" s="71" t="s">
        <v>661</v>
      </c>
      <c r="BA340" s="67" t="s">
        <v>639</v>
      </c>
      <c r="BC340" s="70">
        <f>AW340+AX340</f>
        <v>0</v>
      </c>
      <c r="BD340" s="70">
        <f>H340/(100-BE340)*100</f>
        <v>0</v>
      </c>
      <c r="BE340" s="70">
        <v>0</v>
      </c>
      <c r="BF340" s="70">
        <f>340</f>
        <v>340</v>
      </c>
      <c r="BH340" s="70">
        <f>G340*AO340</f>
        <v>0</v>
      </c>
      <c r="BI340" s="70">
        <f>G340*AP340</f>
        <v>0</v>
      </c>
      <c r="BJ340" s="70">
        <f>G340*H340</f>
        <v>0</v>
      </c>
    </row>
    <row r="341" spans="1:12" ht="15">
      <c r="A341" s="48"/>
      <c r="B341" s="49"/>
      <c r="C341" s="727" t="s">
        <v>667</v>
      </c>
      <c r="D341" s="728"/>
      <c r="E341" s="728"/>
      <c r="F341" s="48" t="s">
        <v>70</v>
      </c>
      <c r="G341" s="48" t="s">
        <v>70</v>
      </c>
      <c r="H341" s="48" t="s">
        <v>70</v>
      </c>
      <c r="I341" s="50">
        <f>I342+I344+I346+I349+I351</f>
        <v>0</v>
      </c>
      <c r="J341" s="50">
        <f>J342+J344+J346+J349+J351</f>
        <v>0</v>
      </c>
      <c r="K341" s="50">
        <f>K342+K344+K346+K349+K351</f>
        <v>0</v>
      </c>
      <c r="L341" s="51"/>
    </row>
    <row r="342" spans="1:47" ht="15">
      <c r="A342" s="88"/>
      <c r="B342" s="89" t="s">
        <v>103</v>
      </c>
      <c r="C342" s="710" t="s">
        <v>104</v>
      </c>
      <c r="D342" s="711"/>
      <c r="E342" s="711"/>
      <c r="F342" s="88" t="s">
        <v>70</v>
      </c>
      <c r="G342" s="88" t="s">
        <v>70</v>
      </c>
      <c r="H342" s="88" t="s">
        <v>70</v>
      </c>
      <c r="I342" s="90">
        <f>SUM(I343:I343)</f>
        <v>0</v>
      </c>
      <c r="J342" s="90">
        <f>SUM(J343:J343)</f>
        <v>0</v>
      </c>
      <c r="K342" s="90">
        <f>SUM(K343:K343)</f>
        <v>0</v>
      </c>
      <c r="L342" s="91"/>
      <c r="AI342" s="67" t="s">
        <v>206</v>
      </c>
      <c r="AS342" s="68">
        <f>SUM(AJ343:AJ343)</f>
        <v>0</v>
      </c>
      <c r="AT342" s="68">
        <f>SUM(AK343:AK343)</f>
        <v>0</v>
      </c>
      <c r="AU342" s="68">
        <f>SUM(AL343:AL343)</f>
        <v>0</v>
      </c>
    </row>
    <row r="343" spans="1:62" ht="15">
      <c r="A343" s="69" t="s">
        <v>668</v>
      </c>
      <c r="B343" s="69" t="s">
        <v>310</v>
      </c>
      <c r="C343" s="696" t="s">
        <v>669</v>
      </c>
      <c r="D343" s="693"/>
      <c r="E343" s="693"/>
      <c r="F343" s="69" t="s">
        <v>312</v>
      </c>
      <c r="G343" s="70">
        <v>1</v>
      </c>
      <c r="H343" s="580">
        <v>0</v>
      </c>
      <c r="I343" s="70">
        <f>G343*AO343</f>
        <v>0</v>
      </c>
      <c r="J343" s="70">
        <f>G343*AP343</f>
        <v>0</v>
      </c>
      <c r="K343" s="70">
        <f>G343*H343</f>
        <v>0</v>
      </c>
      <c r="L343" s="71"/>
      <c r="Z343" s="70">
        <f>IF(AQ343="5",BJ343,0)</f>
        <v>0</v>
      </c>
      <c r="AB343" s="70">
        <f>IF(AQ343="1",BH343,0)</f>
        <v>0</v>
      </c>
      <c r="AC343" s="70">
        <f>IF(AQ343="1",BI343,0)</f>
        <v>0</v>
      </c>
      <c r="AD343" s="70">
        <f>IF(AQ343="7",BH343,0)</f>
        <v>0</v>
      </c>
      <c r="AE343" s="70">
        <f>IF(AQ343="7",BI343,0)</f>
        <v>0</v>
      </c>
      <c r="AF343" s="70">
        <f>IF(AQ343="2",BH343,0)</f>
        <v>0</v>
      </c>
      <c r="AG343" s="70">
        <f>IF(AQ343="2",BI343,0)</f>
        <v>0</v>
      </c>
      <c r="AH343" s="70">
        <f>IF(AQ343="0",BJ343,0)</f>
        <v>0</v>
      </c>
      <c r="AI343" s="67" t="s">
        <v>206</v>
      </c>
      <c r="AJ343" s="70">
        <f>IF(AN343=0,K343,0)</f>
        <v>0</v>
      </c>
      <c r="AK343" s="70">
        <f>IF(AN343=15,K343,0)</f>
        <v>0</v>
      </c>
      <c r="AL343" s="70">
        <f>IF(AN343=21,K343,0)</f>
        <v>0</v>
      </c>
      <c r="AN343" s="70">
        <v>21</v>
      </c>
      <c r="AO343" s="70">
        <f>H343*0</f>
        <v>0</v>
      </c>
      <c r="AP343" s="70">
        <f>H343*(1-0)</f>
        <v>0</v>
      </c>
      <c r="AQ343" s="71" t="s">
        <v>106</v>
      </c>
      <c r="AV343" s="70">
        <f>AW343+AX343</f>
        <v>0</v>
      </c>
      <c r="AW343" s="70">
        <f>G343*AO343</f>
        <v>0</v>
      </c>
      <c r="AX343" s="70">
        <f>G343*AP343</f>
        <v>0</v>
      </c>
      <c r="AY343" s="71" t="s">
        <v>111</v>
      </c>
      <c r="AZ343" s="71" t="s">
        <v>670</v>
      </c>
      <c r="BA343" s="67" t="s">
        <v>453</v>
      </c>
      <c r="BC343" s="70">
        <f>AW343+AX343</f>
        <v>0</v>
      </c>
      <c r="BD343" s="70">
        <f>H343/(100-BE343)*100</f>
        <v>0</v>
      </c>
      <c r="BE343" s="70">
        <v>0</v>
      </c>
      <c r="BF343" s="70">
        <f>343</f>
        <v>343</v>
      </c>
      <c r="BH343" s="70">
        <f>G343*AO343</f>
        <v>0</v>
      </c>
      <c r="BI343" s="70">
        <f>G343*AP343</f>
        <v>0</v>
      </c>
      <c r="BJ343" s="70">
        <f>G343*H343</f>
        <v>0</v>
      </c>
    </row>
    <row r="344" spans="1:47" ht="15">
      <c r="A344" s="88"/>
      <c r="B344" s="89" t="s">
        <v>206</v>
      </c>
      <c r="C344" s="710" t="s">
        <v>449</v>
      </c>
      <c r="D344" s="711"/>
      <c r="E344" s="711"/>
      <c r="F344" s="88" t="s">
        <v>70</v>
      </c>
      <c r="G344" s="88" t="s">
        <v>70</v>
      </c>
      <c r="H344" s="88" t="s">
        <v>70</v>
      </c>
      <c r="I344" s="90">
        <f>SUM(I345:I345)</f>
        <v>0</v>
      </c>
      <c r="J344" s="90">
        <f>SUM(J345:J345)</f>
        <v>0</v>
      </c>
      <c r="K344" s="90">
        <f>SUM(K345:K345)</f>
        <v>0</v>
      </c>
      <c r="L344" s="91"/>
      <c r="AI344" s="67" t="s">
        <v>206</v>
      </c>
      <c r="AS344" s="68">
        <f>SUM(AJ345:AJ345)</f>
        <v>0</v>
      </c>
      <c r="AT344" s="68">
        <f>SUM(AK345:AK345)</f>
        <v>0</v>
      </c>
      <c r="AU344" s="68">
        <f>SUM(AL345:AL345)</f>
        <v>0</v>
      </c>
    </row>
    <row r="345" spans="1:62" ht="15">
      <c r="A345" s="69" t="s">
        <v>671</v>
      </c>
      <c r="B345" s="69" t="s">
        <v>672</v>
      </c>
      <c r="C345" s="696" t="s">
        <v>673</v>
      </c>
      <c r="D345" s="693"/>
      <c r="E345" s="693"/>
      <c r="F345" s="69" t="s">
        <v>674</v>
      </c>
      <c r="G345" s="70">
        <v>45</v>
      </c>
      <c r="H345" s="580">
        <v>0</v>
      </c>
      <c r="I345" s="70">
        <f>G345*AO345</f>
        <v>0</v>
      </c>
      <c r="J345" s="70">
        <f>G345*AP345</f>
        <v>0</v>
      </c>
      <c r="K345" s="70">
        <f>G345*H345</f>
        <v>0</v>
      </c>
      <c r="L345" s="71" t="s">
        <v>120</v>
      </c>
      <c r="Z345" s="70">
        <f>IF(AQ345="5",BJ345,0)</f>
        <v>0</v>
      </c>
      <c r="AB345" s="70">
        <f>IF(AQ345="1",BH345,0)</f>
        <v>0</v>
      </c>
      <c r="AC345" s="70">
        <f>IF(AQ345="1",BI345,0)</f>
        <v>0</v>
      </c>
      <c r="AD345" s="70">
        <f>IF(AQ345="7",BH345,0)</f>
        <v>0</v>
      </c>
      <c r="AE345" s="70">
        <f>IF(AQ345="7",BI345,0)</f>
        <v>0</v>
      </c>
      <c r="AF345" s="70">
        <f>IF(AQ345="2",BH345,0)</f>
        <v>0</v>
      </c>
      <c r="AG345" s="70">
        <f>IF(AQ345="2",BI345,0)</f>
        <v>0</v>
      </c>
      <c r="AH345" s="70">
        <f>IF(AQ345="0",BJ345,0)</f>
        <v>0</v>
      </c>
      <c r="AI345" s="67" t="s">
        <v>206</v>
      </c>
      <c r="AJ345" s="70">
        <f>IF(AN345=0,K345,0)</f>
        <v>0</v>
      </c>
      <c r="AK345" s="70">
        <f>IF(AN345=15,K345,0)</f>
        <v>0</v>
      </c>
      <c r="AL345" s="70">
        <f>IF(AN345=21,K345,0)</f>
        <v>0</v>
      </c>
      <c r="AN345" s="70">
        <v>21</v>
      </c>
      <c r="AO345" s="70">
        <f>H345*0.680949720670391</f>
        <v>0</v>
      </c>
      <c r="AP345" s="70">
        <f>H345*(1-0.680949720670391)</f>
        <v>0</v>
      </c>
      <c r="AQ345" s="71" t="s">
        <v>106</v>
      </c>
      <c r="AV345" s="70">
        <f>AW345+AX345</f>
        <v>0</v>
      </c>
      <c r="AW345" s="70">
        <f>G345*AO345</f>
        <v>0</v>
      </c>
      <c r="AX345" s="70">
        <f>G345*AP345</f>
        <v>0</v>
      </c>
      <c r="AY345" s="71" t="s">
        <v>453</v>
      </c>
      <c r="AZ345" s="71" t="s">
        <v>675</v>
      </c>
      <c r="BA345" s="67" t="s">
        <v>453</v>
      </c>
      <c r="BC345" s="70">
        <f>AW345+AX345</f>
        <v>0</v>
      </c>
      <c r="BD345" s="70">
        <f>H345/(100-BE345)*100</f>
        <v>0</v>
      </c>
      <c r="BE345" s="70">
        <v>0</v>
      </c>
      <c r="BF345" s="70">
        <f>345</f>
        <v>345</v>
      </c>
      <c r="BH345" s="70">
        <f>G345*AO345</f>
        <v>0</v>
      </c>
      <c r="BI345" s="70">
        <f>G345*AP345</f>
        <v>0</v>
      </c>
      <c r="BJ345" s="70">
        <f>G345*H345</f>
        <v>0</v>
      </c>
    </row>
    <row r="346" spans="1:47" ht="15">
      <c r="A346" s="88"/>
      <c r="B346" s="89" t="s">
        <v>229</v>
      </c>
      <c r="C346" s="710" t="s">
        <v>676</v>
      </c>
      <c r="D346" s="711"/>
      <c r="E346" s="711"/>
      <c r="F346" s="88" t="s">
        <v>70</v>
      </c>
      <c r="G346" s="88" t="s">
        <v>70</v>
      </c>
      <c r="H346" s="88" t="s">
        <v>70</v>
      </c>
      <c r="I346" s="90">
        <f>SUM(I347:I347)</f>
        <v>0</v>
      </c>
      <c r="J346" s="90">
        <f>SUM(J347:J347)</f>
        <v>0</v>
      </c>
      <c r="K346" s="90">
        <f>SUM(K347:K347)</f>
        <v>0</v>
      </c>
      <c r="L346" s="91"/>
      <c r="AI346" s="67" t="s">
        <v>206</v>
      </c>
      <c r="AS346" s="68">
        <f>SUM(AJ347:AJ347)</f>
        <v>0</v>
      </c>
      <c r="AT346" s="68">
        <f>SUM(AK347:AK347)</f>
        <v>0</v>
      </c>
      <c r="AU346" s="68">
        <f>SUM(AL347:AL347)</f>
        <v>0</v>
      </c>
    </row>
    <row r="347" spans="1:62" ht="15">
      <c r="A347" s="69" t="s">
        <v>677</v>
      </c>
      <c r="B347" s="69" t="s">
        <v>678</v>
      </c>
      <c r="C347" s="696" t="s">
        <v>679</v>
      </c>
      <c r="D347" s="693"/>
      <c r="E347" s="693"/>
      <c r="F347" s="69" t="s">
        <v>674</v>
      </c>
      <c r="G347" s="70">
        <v>45</v>
      </c>
      <c r="H347" s="580">
        <v>0</v>
      </c>
      <c r="I347" s="70">
        <f>G347*AO347</f>
        <v>0</v>
      </c>
      <c r="J347" s="70">
        <f>G347*AP347</f>
        <v>0</v>
      </c>
      <c r="K347" s="70">
        <f>G347*H347</f>
        <v>0</v>
      </c>
      <c r="L347" s="71" t="s">
        <v>120</v>
      </c>
      <c r="Z347" s="70">
        <f>IF(AQ347="5",BJ347,0)</f>
        <v>0</v>
      </c>
      <c r="AB347" s="70">
        <f>IF(AQ347="1",BH347,0)</f>
        <v>0</v>
      </c>
      <c r="AC347" s="70">
        <f>IF(AQ347="1",BI347,0)</f>
        <v>0</v>
      </c>
      <c r="AD347" s="70">
        <f>IF(AQ347="7",BH347,0)</f>
        <v>0</v>
      </c>
      <c r="AE347" s="70">
        <f>IF(AQ347="7",BI347,0)</f>
        <v>0</v>
      </c>
      <c r="AF347" s="70">
        <f>IF(AQ347="2",BH347,0)</f>
        <v>0</v>
      </c>
      <c r="AG347" s="70">
        <f>IF(AQ347="2",BI347,0)</f>
        <v>0</v>
      </c>
      <c r="AH347" s="70">
        <f>IF(AQ347="0",BJ347,0)</f>
        <v>0</v>
      </c>
      <c r="AI347" s="67" t="s">
        <v>206</v>
      </c>
      <c r="AJ347" s="70">
        <f>IF(AN347=0,K347,0)</f>
        <v>0</v>
      </c>
      <c r="AK347" s="70">
        <f>IF(AN347=15,K347,0)</f>
        <v>0</v>
      </c>
      <c r="AL347" s="70">
        <f>IF(AN347=21,K347,0)</f>
        <v>0</v>
      </c>
      <c r="AN347" s="70">
        <v>21</v>
      </c>
      <c r="AO347" s="70">
        <f>H347*0</f>
        <v>0</v>
      </c>
      <c r="AP347" s="70">
        <f>H347*(1-0)</f>
        <v>0</v>
      </c>
      <c r="AQ347" s="71" t="s">
        <v>106</v>
      </c>
      <c r="AV347" s="70">
        <f>AW347+AX347</f>
        <v>0</v>
      </c>
      <c r="AW347" s="70">
        <f>G347*AO347</f>
        <v>0</v>
      </c>
      <c r="AX347" s="70">
        <f>G347*AP347</f>
        <v>0</v>
      </c>
      <c r="AY347" s="71" t="s">
        <v>680</v>
      </c>
      <c r="AZ347" s="71" t="s">
        <v>681</v>
      </c>
      <c r="BA347" s="67" t="s">
        <v>453</v>
      </c>
      <c r="BC347" s="70">
        <f>AW347+AX347</f>
        <v>0</v>
      </c>
      <c r="BD347" s="70">
        <f>H347/(100-BE347)*100</f>
        <v>0</v>
      </c>
      <c r="BE347" s="70">
        <v>0</v>
      </c>
      <c r="BF347" s="70">
        <f>347</f>
        <v>347</v>
      </c>
      <c r="BH347" s="70">
        <f>G347*AO347</f>
        <v>0</v>
      </c>
      <c r="BI347" s="70">
        <f>G347*AP347</f>
        <v>0</v>
      </c>
      <c r="BJ347" s="70">
        <f>G347*H347</f>
        <v>0</v>
      </c>
    </row>
    <row r="348" spans="2:12" ht="12.75" customHeight="1">
      <c r="B348" s="75" t="s">
        <v>67</v>
      </c>
      <c r="C348" s="725" t="s">
        <v>682</v>
      </c>
      <c r="D348" s="726"/>
      <c r="E348" s="726"/>
      <c r="F348" s="726"/>
      <c r="G348" s="726"/>
      <c r="H348" s="726"/>
      <c r="I348" s="726"/>
      <c r="J348" s="726"/>
      <c r="K348" s="726"/>
      <c r="L348" s="726"/>
    </row>
    <row r="349" spans="1:47" ht="15">
      <c r="A349" s="88"/>
      <c r="B349" s="89" t="s">
        <v>345</v>
      </c>
      <c r="C349" s="710" t="s">
        <v>346</v>
      </c>
      <c r="D349" s="711"/>
      <c r="E349" s="711"/>
      <c r="F349" s="88" t="s">
        <v>70</v>
      </c>
      <c r="G349" s="88" t="s">
        <v>70</v>
      </c>
      <c r="H349" s="88" t="s">
        <v>70</v>
      </c>
      <c r="I349" s="90">
        <f>SUM(I350:I350)</f>
        <v>0</v>
      </c>
      <c r="J349" s="90">
        <f>SUM(J350:J350)</f>
        <v>0</v>
      </c>
      <c r="K349" s="90">
        <f>SUM(K350:K350)</f>
        <v>0</v>
      </c>
      <c r="L349" s="91"/>
      <c r="AI349" s="67" t="s">
        <v>206</v>
      </c>
      <c r="AS349" s="68">
        <f>SUM(AJ350:AJ350)</f>
        <v>0</v>
      </c>
      <c r="AT349" s="68">
        <f>SUM(AK350:AK350)</f>
        <v>0</v>
      </c>
      <c r="AU349" s="68">
        <f>SUM(AL350:AL350)</f>
        <v>0</v>
      </c>
    </row>
    <row r="350" spans="1:62" ht="15">
      <c r="A350" s="72" t="s">
        <v>683</v>
      </c>
      <c r="B350" s="72" t="s">
        <v>684</v>
      </c>
      <c r="C350" s="712" t="s">
        <v>685</v>
      </c>
      <c r="D350" s="693"/>
      <c r="E350" s="713"/>
      <c r="F350" s="72" t="s">
        <v>132</v>
      </c>
      <c r="G350" s="73">
        <v>0.5</v>
      </c>
      <c r="H350" s="581">
        <v>0</v>
      </c>
      <c r="I350" s="73">
        <f>G350*AO350</f>
        <v>0</v>
      </c>
      <c r="J350" s="73">
        <f>G350*AP350</f>
        <v>0</v>
      </c>
      <c r="K350" s="73">
        <f>G350*H350</f>
        <v>0</v>
      </c>
      <c r="L350" s="74" t="s">
        <v>120</v>
      </c>
      <c r="Z350" s="70">
        <f>IF(AQ350="5",BJ350,0)</f>
        <v>0</v>
      </c>
      <c r="AB350" s="70">
        <f>IF(AQ350="1",BH350,0)</f>
        <v>0</v>
      </c>
      <c r="AC350" s="70">
        <f>IF(AQ350="1",BI350,0)</f>
        <v>0</v>
      </c>
      <c r="AD350" s="70">
        <f>IF(AQ350="7",BH350,0)</f>
        <v>0</v>
      </c>
      <c r="AE350" s="70">
        <f>IF(AQ350="7",BI350,0)</f>
        <v>0</v>
      </c>
      <c r="AF350" s="70">
        <f>IF(AQ350="2",BH350,0)</f>
        <v>0</v>
      </c>
      <c r="AG350" s="70">
        <f>IF(AQ350="2",BI350,0)</f>
        <v>0</v>
      </c>
      <c r="AH350" s="70">
        <f>IF(AQ350="0",BJ350,0)</f>
        <v>0</v>
      </c>
      <c r="AI350" s="67" t="s">
        <v>206</v>
      </c>
      <c r="AJ350" s="70">
        <f>IF(AN350=0,K350,0)</f>
        <v>0</v>
      </c>
      <c r="AK350" s="70">
        <f>IF(AN350=15,K350,0)</f>
        <v>0</v>
      </c>
      <c r="AL350" s="70">
        <f>IF(AN350=21,K350,0)</f>
        <v>0</v>
      </c>
      <c r="AN350" s="70">
        <v>21</v>
      </c>
      <c r="AO350" s="70">
        <f>H350*0</f>
        <v>0</v>
      </c>
      <c r="AP350" s="70">
        <f>H350*(1-0)</f>
        <v>0</v>
      </c>
      <c r="AQ350" s="71" t="s">
        <v>124</v>
      </c>
      <c r="AV350" s="70">
        <f>AW350+AX350</f>
        <v>0</v>
      </c>
      <c r="AW350" s="70">
        <f>G350*AO350</f>
        <v>0</v>
      </c>
      <c r="AX350" s="70">
        <f>G350*AP350</f>
        <v>0</v>
      </c>
      <c r="AY350" s="71" t="s">
        <v>350</v>
      </c>
      <c r="AZ350" s="71" t="s">
        <v>686</v>
      </c>
      <c r="BA350" s="67" t="s">
        <v>453</v>
      </c>
      <c r="BC350" s="70">
        <f>AW350+AX350</f>
        <v>0</v>
      </c>
      <c r="BD350" s="70">
        <f>H350/(100-BE350)*100</f>
        <v>0</v>
      </c>
      <c r="BE350" s="70">
        <v>0</v>
      </c>
      <c r="BF350" s="70">
        <f>350</f>
        <v>350</v>
      </c>
      <c r="BH350" s="70">
        <f>G350*AO350</f>
        <v>0</v>
      </c>
      <c r="BI350" s="70">
        <f>G350*AP350</f>
        <v>0</v>
      </c>
      <c r="BJ350" s="70">
        <f>G350*H350</f>
        <v>0</v>
      </c>
    </row>
    <row r="351" spans="1:47" ht="15">
      <c r="A351" s="88"/>
      <c r="B351" s="89"/>
      <c r="C351" s="710" t="s">
        <v>52</v>
      </c>
      <c r="D351" s="711"/>
      <c r="E351" s="711"/>
      <c r="F351" s="88" t="s">
        <v>70</v>
      </c>
      <c r="G351" s="88" t="s">
        <v>70</v>
      </c>
      <c r="H351" s="88" t="s">
        <v>70</v>
      </c>
      <c r="I351" s="90">
        <f>SUM(I352:I355)</f>
        <v>0</v>
      </c>
      <c r="J351" s="90">
        <f>SUM(J352:J355)</f>
        <v>0</v>
      </c>
      <c r="K351" s="90">
        <f>SUM(K352:K355)</f>
        <v>0</v>
      </c>
      <c r="L351" s="91"/>
      <c r="AI351" s="67" t="s">
        <v>206</v>
      </c>
      <c r="AS351" s="68">
        <f>SUM(AJ352:AJ355)</f>
        <v>0</v>
      </c>
      <c r="AT351" s="68">
        <f>SUM(AK352:AK355)</f>
        <v>0</v>
      </c>
      <c r="AU351" s="68">
        <f>SUM(AL352:AL355)</f>
        <v>0</v>
      </c>
    </row>
    <row r="352" spans="1:62" ht="15">
      <c r="A352" s="69" t="s">
        <v>687</v>
      </c>
      <c r="B352" s="69" t="s">
        <v>688</v>
      </c>
      <c r="C352" s="696" t="s">
        <v>689</v>
      </c>
      <c r="D352" s="693"/>
      <c r="E352" s="693"/>
      <c r="F352" s="69" t="s">
        <v>674</v>
      </c>
      <c r="G352" s="70">
        <v>45</v>
      </c>
      <c r="H352" s="580">
        <v>0</v>
      </c>
      <c r="I352" s="70">
        <f>G352*AO352</f>
        <v>0</v>
      </c>
      <c r="J352" s="70">
        <f>G352*AP352</f>
        <v>0</v>
      </c>
      <c r="K352" s="70">
        <f>G352*H352</f>
        <v>0</v>
      </c>
      <c r="L352" s="71" t="s">
        <v>120</v>
      </c>
      <c r="Z352" s="70">
        <f>IF(AQ352="5",BJ352,0)</f>
        <v>0</v>
      </c>
      <c r="AB352" s="70">
        <f>IF(AQ352="1",BH352,0)</f>
        <v>0</v>
      </c>
      <c r="AC352" s="70">
        <f>IF(AQ352="1",BI352,0)</f>
        <v>0</v>
      </c>
      <c r="AD352" s="70">
        <f>IF(AQ352="7",BH352,0)</f>
        <v>0</v>
      </c>
      <c r="AE352" s="70">
        <f>IF(AQ352="7",BI352,0)</f>
        <v>0</v>
      </c>
      <c r="AF352" s="70">
        <f>IF(AQ352="2",BH352,0)</f>
        <v>0</v>
      </c>
      <c r="AG352" s="70">
        <f>IF(AQ352="2",BI352,0)</f>
        <v>0</v>
      </c>
      <c r="AH352" s="70">
        <f>IF(AQ352="0",BJ352,0)</f>
        <v>0</v>
      </c>
      <c r="AI352" s="67" t="s">
        <v>206</v>
      </c>
      <c r="AJ352" s="70">
        <f>IF(AN352=0,K352,0)</f>
        <v>0</v>
      </c>
      <c r="AK352" s="70">
        <f>IF(AN352=15,K352,0)</f>
        <v>0</v>
      </c>
      <c r="AL352" s="70">
        <f>IF(AN352=21,K352,0)</f>
        <v>0</v>
      </c>
      <c r="AN352" s="70">
        <v>21</v>
      </c>
      <c r="AO352" s="70">
        <f>H352*1</f>
        <v>0</v>
      </c>
      <c r="AP352" s="70">
        <f>H352*(1-1)</f>
        <v>0</v>
      </c>
      <c r="AQ352" s="71" t="s">
        <v>355</v>
      </c>
      <c r="AV352" s="70">
        <f>AW352+AX352</f>
        <v>0</v>
      </c>
      <c r="AW352" s="70">
        <f>G352*AO352</f>
        <v>0</v>
      </c>
      <c r="AX352" s="70">
        <f>G352*AP352</f>
        <v>0</v>
      </c>
      <c r="AY352" s="71" t="s">
        <v>356</v>
      </c>
      <c r="AZ352" s="71" t="s">
        <v>690</v>
      </c>
      <c r="BA352" s="67" t="s">
        <v>453</v>
      </c>
      <c r="BC352" s="70">
        <f>AW352+AX352</f>
        <v>0</v>
      </c>
      <c r="BD352" s="70">
        <f>H352/(100-BE352)*100</f>
        <v>0</v>
      </c>
      <c r="BE352" s="70">
        <v>0</v>
      </c>
      <c r="BF352" s="70">
        <f>352</f>
        <v>352</v>
      </c>
      <c r="BH352" s="70">
        <f>G352*AO352</f>
        <v>0</v>
      </c>
      <c r="BI352" s="70">
        <f>G352*AP352</f>
        <v>0</v>
      </c>
      <c r="BJ352" s="70">
        <f>G352*H352</f>
        <v>0</v>
      </c>
    </row>
    <row r="353" spans="1:62" ht="15">
      <c r="A353" s="69" t="s">
        <v>691</v>
      </c>
      <c r="B353" s="69" t="s">
        <v>692</v>
      </c>
      <c r="C353" s="696" t="s">
        <v>693</v>
      </c>
      <c r="D353" s="693"/>
      <c r="E353" s="693"/>
      <c r="F353" s="69" t="s">
        <v>674</v>
      </c>
      <c r="G353" s="70">
        <v>8</v>
      </c>
      <c r="H353" s="580">
        <v>0</v>
      </c>
      <c r="I353" s="70">
        <f>G353*AO353</f>
        <v>0</v>
      </c>
      <c r="J353" s="70">
        <f>G353*AP353</f>
        <v>0</v>
      </c>
      <c r="K353" s="70">
        <f>G353*H353</f>
        <v>0</v>
      </c>
      <c r="L353" s="71" t="s">
        <v>120</v>
      </c>
      <c r="Z353" s="70">
        <f>IF(AQ353="5",BJ353,0)</f>
        <v>0</v>
      </c>
      <c r="AB353" s="70">
        <f>IF(AQ353="1",BH353,0)</f>
        <v>0</v>
      </c>
      <c r="AC353" s="70">
        <f>IF(AQ353="1",BI353,0)</f>
        <v>0</v>
      </c>
      <c r="AD353" s="70">
        <f>IF(AQ353="7",BH353,0)</f>
        <v>0</v>
      </c>
      <c r="AE353" s="70">
        <f>IF(AQ353="7",BI353,0)</f>
        <v>0</v>
      </c>
      <c r="AF353" s="70">
        <f>IF(AQ353="2",BH353,0)</f>
        <v>0</v>
      </c>
      <c r="AG353" s="70">
        <f>IF(AQ353="2",BI353,0)</f>
        <v>0</v>
      </c>
      <c r="AH353" s="70">
        <f>IF(AQ353="0",BJ353,0)</f>
        <v>0</v>
      </c>
      <c r="AI353" s="67" t="s">
        <v>206</v>
      </c>
      <c r="AJ353" s="70">
        <f>IF(AN353=0,K353,0)</f>
        <v>0</v>
      </c>
      <c r="AK353" s="70">
        <f>IF(AN353=15,K353,0)</f>
        <v>0</v>
      </c>
      <c r="AL353" s="70">
        <f>IF(AN353=21,K353,0)</f>
        <v>0</v>
      </c>
      <c r="AN353" s="70">
        <v>21</v>
      </c>
      <c r="AO353" s="70">
        <f>H353*1</f>
        <v>0</v>
      </c>
      <c r="AP353" s="70">
        <f>H353*(1-1)</f>
        <v>0</v>
      </c>
      <c r="AQ353" s="71" t="s">
        <v>355</v>
      </c>
      <c r="AV353" s="70">
        <f>AW353+AX353</f>
        <v>0</v>
      </c>
      <c r="AW353" s="70">
        <f>G353*AO353</f>
        <v>0</v>
      </c>
      <c r="AX353" s="70">
        <f>G353*AP353</f>
        <v>0</v>
      </c>
      <c r="AY353" s="71" t="s">
        <v>356</v>
      </c>
      <c r="AZ353" s="71" t="s">
        <v>690</v>
      </c>
      <c r="BA353" s="67" t="s">
        <v>453</v>
      </c>
      <c r="BC353" s="70">
        <f>AW353+AX353</f>
        <v>0</v>
      </c>
      <c r="BD353" s="70">
        <f>H353/(100-BE353)*100</f>
        <v>0</v>
      </c>
      <c r="BE353" s="70">
        <v>0</v>
      </c>
      <c r="BF353" s="70">
        <f>353</f>
        <v>353</v>
      </c>
      <c r="BH353" s="70">
        <f>G353*AO353</f>
        <v>0</v>
      </c>
      <c r="BI353" s="70">
        <f>G353*AP353</f>
        <v>0</v>
      </c>
      <c r="BJ353" s="70">
        <f>G353*H353</f>
        <v>0</v>
      </c>
    </row>
    <row r="354" spans="1:62" ht="15">
      <c r="A354" s="69" t="s">
        <v>694</v>
      </c>
      <c r="B354" s="69" t="s">
        <v>695</v>
      </c>
      <c r="C354" s="696" t="s">
        <v>696</v>
      </c>
      <c r="D354" s="693"/>
      <c r="E354" s="693"/>
      <c r="F354" s="69" t="s">
        <v>697</v>
      </c>
      <c r="G354" s="70">
        <v>101</v>
      </c>
      <c r="H354" s="580">
        <v>0</v>
      </c>
      <c r="I354" s="70">
        <f>G354*AO354</f>
        <v>0</v>
      </c>
      <c r="J354" s="70">
        <f>G354*AP354</f>
        <v>0</v>
      </c>
      <c r="K354" s="70">
        <f>G354*H354</f>
        <v>0</v>
      </c>
      <c r="L354" s="71"/>
      <c r="Z354" s="70">
        <f>IF(AQ354="5",BJ354,0)</f>
        <v>0</v>
      </c>
      <c r="AB354" s="70">
        <f>IF(AQ354="1",BH354,0)</f>
        <v>0</v>
      </c>
      <c r="AC354" s="70">
        <f>IF(AQ354="1",BI354,0)</f>
        <v>0</v>
      </c>
      <c r="AD354" s="70">
        <f>IF(AQ354="7",BH354,0)</f>
        <v>0</v>
      </c>
      <c r="AE354" s="70">
        <f>IF(AQ354="7",BI354,0)</f>
        <v>0</v>
      </c>
      <c r="AF354" s="70">
        <f>IF(AQ354="2",BH354,0)</f>
        <v>0</v>
      </c>
      <c r="AG354" s="70">
        <f>IF(AQ354="2",BI354,0)</f>
        <v>0</v>
      </c>
      <c r="AH354" s="70">
        <f>IF(AQ354="0",BJ354,0)</f>
        <v>0</v>
      </c>
      <c r="AI354" s="67" t="s">
        <v>206</v>
      </c>
      <c r="AJ354" s="70">
        <f>IF(AN354=0,K354,0)</f>
        <v>0</v>
      </c>
      <c r="AK354" s="70">
        <f>IF(AN354=15,K354,0)</f>
        <v>0</v>
      </c>
      <c r="AL354" s="70">
        <f>IF(AN354=21,K354,0)</f>
        <v>0</v>
      </c>
      <c r="AN354" s="70">
        <v>21</v>
      </c>
      <c r="AO354" s="70">
        <f>H354*1</f>
        <v>0</v>
      </c>
      <c r="AP354" s="70">
        <f>H354*(1-1)</f>
        <v>0</v>
      </c>
      <c r="AQ354" s="71" t="s">
        <v>355</v>
      </c>
      <c r="AV354" s="70">
        <f>AW354+AX354</f>
        <v>0</v>
      </c>
      <c r="AW354" s="70">
        <f>G354*AO354</f>
        <v>0</v>
      </c>
      <c r="AX354" s="70">
        <f>G354*AP354</f>
        <v>0</v>
      </c>
      <c r="AY354" s="71" t="s">
        <v>356</v>
      </c>
      <c r="AZ354" s="71" t="s">
        <v>690</v>
      </c>
      <c r="BA354" s="67" t="s">
        <v>453</v>
      </c>
      <c r="BC354" s="70">
        <f>AW354+AX354</f>
        <v>0</v>
      </c>
      <c r="BD354" s="70">
        <f>H354/(100-BE354)*100</f>
        <v>0</v>
      </c>
      <c r="BE354" s="70">
        <v>0</v>
      </c>
      <c r="BF354" s="70">
        <f>354</f>
        <v>354</v>
      </c>
      <c r="BH354" s="70">
        <f>G354*AO354</f>
        <v>0</v>
      </c>
      <c r="BI354" s="70">
        <f>G354*AP354</f>
        <v>0</v>
      </c>
      <c r="BJ354" s="70">
        <f>G354*H354</f>
        <v>0</v>
      </c>
    </row>
    <row r="355" spans="1:62" ht="15">
      <c r="A355" s="69" t="s">
        <v>698</v>
      </c>
      <c r="B355" s="69" t="s">
        <v>699</v>
      </c>
      <c r="C355" s="696" t="s">
        <v>700</v>
      </c>
      <c r="D355" s="693"/>
      <c r="E355" s="693"/>
      <c r="F355" s="69" t="s">
        <v>209</v>
      </c>
      <c r="G355" s="70">
        <v>101</v>
      </c>
      <c r="H355" s="580">
        <v>0</v>
      </c>
      <c r="I355" s="70">
        <f>G355*AO355</f>
        <v>0</v>
      </c>
      <c r="J355" s="70">
        <f>G355*AP355</f>
        <v>0</v>
      </c>
      <c r="K355" s="70">
        <f>G355*H355</f>
        <v>0</v>
      </c>
      <c r="L355" s="71" t="s">
        <v>120</v>
      </c>
      <c r="Z355" s="70">
        <f>IF(AQ355="5",BJ355,0)</f>
        <v>0</v>
      </c>
      <c r="AB355" s="70">
        <f>IF(AQ355="1",BH355,0)</f>
        <v>0</v>
      </c>
      <c r="AC355" s="70">
        <f>IF(AQ355="1",BI355,0)</f>
        <v>0</v>
      </c>
      <c r="AD355" s="70">
        <f>IF(AQ355="7",BH355,0)</f>
        <v>0</v>
      </c>
      <c r="AE355" s="70">
        <f>IF(AQ355="7",BI355,0)</f>
        <v>0</v>
      </c>
      <c r="AF355" s="70">
        <f>IF(AQ355="2",BH355,0)</f>
        <v>0</v>
      </c>
      <c r="AG355" s="70">
        <f>IF(AQ355="2",BI355,0)</f>
        <v>0</v>
      </c>
      <c r="AH355" s="70">
        <f>IF(AQ355="0",BJ355,0)</f>
        <v>0</v>
      </c>
      <c r="AI355" s="67" t="s">
        <v>206</v>
      </c>
      <c r="AJ355" s="70">
        <f>IF(AN355=0,K355,0)</f>
        <v>0</v>
      </c>
      <c r="AK355" s="70">
        <f>IF(AN355=15,K355,0)</f>
        <v>0</v>
      </c>
      <c r="AL355" s="70">
        <f>IF(AN355=21,K355,0)</f>
        <v>0</v>
      </c>
      <c r="AN355" s="70">
        <v>21</v>
      </c>
      <c r="AO355" s="70">
        <f>H355*1</f>
        <v>0</v>
      </c>
      <c r="AP355" s="70">
        <f>H355*(1-1)</f>
        <v>0</v>
      </c>
      <c r="AQ355" s="71" t="s">
        <v>355</v>
      </c>
      <c r="AV355" s="70">
        <f>AW355+AX355</f>
        <v>0</v>
      </c>
      <c r="AW355" s="70">
        <f>G355*AO355</f>
        <v>0</v>
      </c>
      <c r="AX355" s="70">
        <f>G355*AP355</f>
        <v>0</v>
      </c>
      <c r="AY355" s="71" t="s">
        <v>356</v>
      </c>
      <c r="AZ355" s="71" t="s">
        <v>690</v>
      </c>
      <c r="BA355" s="67" t="s">
        <v>453</v>
      </c>
      <c r="BC355" s="70">
        <f>AW355+AX355</f>
        <v>0</v>
      </c>
      <c r="BD355" s="70">
        <f>H355/(100-BE355)*100</f>
        <v>0</v>
      </c>
      <c r="BE355" s="70">
        <v>0</v>
      </c>
      <c r="BF355" s="70">
        <f>355</f>
        <v>355</v>
      </c>
      <c r="BH355" s="70">
        <f>G355*AO355</f>
        <v>0</v>
      </c>
      <c r="BI355" s="70">
        <f>G355*AP355</f>
        <v>0</v>
      </c>
      <c r="BJ355" s="70">
        <f>G355*H355</f>
        <v>0</v>
      </c>
    </row>
    <row r="356" spans="1:12" ht="15">
      <c r="A356" s="48"/>
      <c r="B356" s="49"/>
      <c r="C356" s="727" t="s">
        <v>701</v>
      </c>
      <c r="D356" s="728"/>
      <c r="E356" s="728"/>
      <c r="F356" s="48" t="s">
        <v>70</v>
      </c>
      <c r="G356" s="48" t="s">
        <v>70</v>
      </c>
      <c r="H356" s="48" t="s">
        <v>70</v>
      </c>
      <c r="I356" s="50">
        <f>I357+I360+I362</f>
        <v>0</v>
      </c>
      <c r="J356" s="50">
        <f>J357+J360+J362</f>
        <v>0</v>
      </c>
      <c r="K356" s="50">
        <f>K357+K360+K362</f>
        <v>0</v>
      </c>
      <c r="L356" s="51"/>
    </row>
    <row r="357" spans="1:47" ht="15">
      <c r="A357" s="88"/>
      <c r="B357" s="89" t="s">
        <v>702</v>
      </c>
      <c r="C357" s="710" t="s">
        <v>703</v>
      </c>
      <c r="D357" s="711"/>
      <c r="E357" s="711"/>
      <c r="F357" s="88" t="s">
        <v>70</v>
      </c>
      <c r="G357" s="88" t="s">
        <v>70</v>
      </c>
      <c r="H357" s="88" t="s">
        <v>70</v>
      </c>
      <c r="I357" s="90">
        <f>SUM(I358:I359)</f>
        <v>0</v>
      </c>
      <c r="J357" s="90">
        <f>SUM(J358:J359)</f>
        <v>0</v>
      </c>
      <c r="K357" s="90">
        <f>SUM(K358:K359)</f>
        <v>0</v>
      </c>
      <c r="L357" s="91"/>
      <c r="AI357" s="67" t="s">
        <v>212</v>
      </c>
      <c r="AS357" s="68">
        <f>SUM(AJ358:AJ359)</f>
        <v>0</v>
      </c>
      <c r="AT357" s="68">
        <f>SUM(AK358:AK359)</f>
        <v>0</v>
      </c>
      <c r="AU357" s="68">
        <f>SUM(AL358:AL359)</f>
        <v>0</v>
      </c>
    </row>
    <row r="358" spans="1:62" ht="15">
      <c r="A358" s="69" t="s">
        <v>704</v>
      </c>
      <c r="B358" s="69" t="s">
        <v>705</v>
      </c>
      <c r="C358" s="696" t="s">
        <v>706</v>
      </c>
      <c r="D358" s="693"/>
      <c r="E358" s="693"/>
      <c r="F358" s="69" t="s">
        <v>209</v>
      </c>
      <c r="G358" s="70">
        <v>3</v>
      </c>
      <c r="H358" s="580">
        <v>0</v>
      </c>
      <c r="I358" s="70">
        <f>G358*AO358</f>
        <v>0</v>
      </c>
      <c r="J358" s="70">
        <f>G358*AP358</f>
        <v>0</v>
      </c>
      <c r="K358" s="70">
        <f>G358*H358</f>
        <v>0</v>
      </c>
      <c r="L358" s="71" t="s">
        <v>120</v>
      </c>
      <c r="Z358" s="70">
        <f>IF(AQ358="5",BJ358,0)</f>
        <v>0</v>
      </c>
      <c r="AB358" s="70">
        <f>IF(AQ358="1",BH358,0)</f>
        <v>0</v>
      </c>
      <c r="AC358" s="70">
        <f>IF(AQ358="1",BI358,0)</f>
        <v>0</v>
      </c>
      <c r="AD358" s="70">
        <f>IF(AQ358="7",BH358,0)</f>
        <v>0</v>
      </c>
      <c r="AE358" s="70">
        <f>IF(AQ358="7",BI358,0)</f>
        <v>0</v>
      </c>
      <c r="AF358" s="70">
        <f>IF(AQ358="2",BH358,0)</f>
        <v>0</v>
      </c>
      <c r="AG358" s="70">
        <f>IF(AQ358="2",BI358,0)</f>
        <v>0</v>
      </c>
      <c r="AH358" s="70">
        <f>IF(AQ358="0",BJ358,0)</f>
        <v>0</v>
      </c>
      <c r="AI358" s="67" t="s">
        <v>212</v>
      </c>
      <c r="AJ358" s="70">
        <f>IF(AN358=0,K358,0)</f>
        <v>0</v>
      </c>
      <c r="AK358" s="70">
        <f>IF(AN358=15,K358,0)</f>
        <v>0</v>
      </c>
      <c r="AL358" s="70">
        <f>IF(AN358=21,K358,0)</f>
        <v>0</v>
      </c>
      <c r="AN358" s="70">
        <v>21</v>
      </c>
      <c r="AO358" s="70">
        <f>H358*0.152578616352201</f>
        <v>0</v>
      </c>
      <c r="AP358" s="70">
        <f>H358*(1-0.152578616352201)</f>
        <v>0</v>
      </c>
      <c r="AQ358" s="71" t="s">
        <v>136</v>
      </c>
      <c r="AV358" s="70">
        <f>AW358+AX358</f>
        <v>0</v>
      </c>
      <c r="AW358" s="70">
        <f>G358*AO358</f>
        <v>0</v>
      </c>
      <c r="AX358" s="70">
        <f>G358*AP358</f>
        <v>0</v>
      </c>
      <c r="AY358" s="71" t="s">
        <v>707</v>
      </c>
      <c r="AZ358" s="71" t="s">
        <v>708</v>
      </c>
      <c r="BA358" s="67" t="s">
        <v>709</v>
      </c>
      <c r="BC358" s="70">
        <f>AW358+AX358</f>
        <v>0</v>
      </c>
      <c r="BD358" s="70">
        <f>H358/(100-BE358)*100</f>
        <v>0</v>
      </c>
      <c r="BE358" s="70">
        <v>0</v>
      </c>
      <c r="BF358" s="70">
        <f>358</f>
        <v>358</v>
      </c>
      <c r="BH358" s="70">
        <f>G358*AO358</f>
        <v>0</v>
      </c>
      <c r="BI358" s="70">
        <f>G358*AP358</f>
        <v>0</v>
      </c>
      <c r="BJ358" s="70">
        <f>G358*H358</f>
        <v>0</v>
      </c>
    </row>
    <row r="359" spans="1:62" ht="15">
      <c r="A359" s="69" t="s">
        <v>710</v>
      </c>
      <c r="B359" s="69" t="s">
        <v>711</v>
      </c>
      <c r="C359" s="696" t="s">
        <v>712</v>
      </c>
      <c r="D359" s="693"/>
      <c r="E359" s="693"/>
      <c r="F359" s="69" t="s">
        <v>674</v>
      </c>
      <c r="G359" s="70">
        <v>2</v>
      </c>
      <c r="H359" s="580">
        <v>0</v>
      </c>
      <c r="I359" s="70">
        <f>G359*AO359</f>
        <v>0</v>
      </c>
      <c r="J359" s="70">
        <f>G359*AP359</f>
        <v>0</v>
      </c>
      <c r="K359" s="70">
        <f>G359*H359</f>
        <v>0</v>
      </c>
      <c r="L359" s="71" t="s">
        <v>120</v>
      </c>
      <c r="Z359" s="70">
        <f>IF(AQ359="5",BJ359,0)</f>
        <v>0</v>
      </c>
      <c r="AB359" s="70">
        <f>IF(AQ359="1",BH359,0)</f>
        <v>0</v>
      </c>
      <c r="AC359" s="70">
        <f>IF(AQ359="1",BI359,0)</f>
        <v>0</v>
      </c>
      <c r="AD359" s="70">
        <f>IF(AQ359="7",BH359,0)</f>
        <v>0</v>
      </c>
      <c r="AE359" s="70">
        <f>IF(AQ359="7",BI359,0)</f>
        <v>0</v>
      </c>
      <c r="AF359" s="70">
        <f>IF(AQ359="2",BH359,0)</f>
        <v>0</v>
      </c>
      <c r="AG359" s="70">
        <f>IF(AQ359="2",BI359,0)</f>
        <v>0</v>
      </c>
      <c r="AH359" s="70">
        <f>IF(AQ359="0",BJ359,0)</f>
        <v>0</v>
      </c>
      <c r="AI359" s="67" t="s">
        <v>212</v>
      </c>
      <c r="AJ359" s="70">
        <f>IF(AN359=0,K359,0)</f>
        <v>0</v>
      </c>
      <c r="AK359" s="70">
        <f>IF(AN359=15,K359,0)</f>
        <v>0</v>
      </c>
      <c r="AL359" s="70">
        <f>IF(AN359=21,K359,0)</f>
        <v>0</v>
      </c>
      <c r="AN359" s="70">
        <v>21</v>
      </c>
      <c r="AO359" s="70">
        <f>H359*0.0603891050583658</f>
        <v>0</v>
      </c>
      <c r="AP359" s="70">
        <f>H359*(1-0.0603891050583658)</f>
        <v>0</v>
      </c>
      <c r="AQ359" s="71" t="s">
        <v>136</v>
      </c>
      <c r="AV359" s="70">
        <f>AW359+AX359</f>
        <v>0</v>
      </c>
      <c r="AW359" s="70">
        <f>G359*AO359</f>
        <v>0</v>
      </c>
      <c r="AX359" s="70">
        <f>G359*AP359</f>
        <v>0</v>
      </c>
      <c r="AY359" s="71" t="s">
        <v>707</v>
      </c>
      <c r="AZ359" s="71" t="s">
        <v>708</v>
      </c>
      <c r="BA359" s="67" t="s">
        <v>709</v>
      </c>
      <c r="BC359" s="70">
        <f>AW359+AX359</f>
        <v>0</v>
      </c>
      <c r="BD359" s="70">
        <f>H359/(100-BE359)*100</f>
        <v>0</v>
      </c>
      <c r="BE359" s="70">
        <v>0</v>
      </c>
      <c r="BF359" s="70">
        <f>359</f>
        <v>359</v>
      </c>
      <c r="BH359" s="70">
        <f>G359*AO359</f>
        <v>0</v>
      </c>
      <c r="BI359" s="70">
        <f>G359*AP359</f>
        <v>0</v>
      </c>
      <c r="BJ359" s="70">
        <f>G359*H359</f>
        <v>0</v>
      </c>
    </row>
    <row r="360" spans="1:47" ht="15">
      <c r="A360" s="88"/>
      <c r="B360" s="89" t="s">
        <v>713</v>
      </c>
      <c r="C360" s="710" t="s">
        <v>703</v>
      </c>
      <c r="D360" s="711"/>
      <c r="E360" s="711"/>
      <c r="F360" s="88" t="s">
        <v>70</v>
      </c>
      <c r="G360" s="88" t="s">
        <v>70</v>
      </c>
      <c r="H360" s="88" t="s">
        <v>70</v>
      </c>
      <c r="I360" s="90">
        <f>SUM(I361:I361)</f>
        <v>0</v>
      </c>
      <c r="J360" s="90">
        <f>SUM(J361:J361)</f>
        <v>0</v>
      </c>
      <c r="K360" s="90">
        <f>SUM(K361:K361)</f>
        <v>0</v>
      </c>
      <c r="L360" s="91"/>
      <c r="AI360" s="67" t="s">
        <v>212</v>
      </c>
      <c r="AS360" s="68">
        <f>SUM(AJ361:AJ361)</f>
        <v>0</v>
      </c>
      <c r="AT360" s="68">
        <f>SUM(AK361:AK361)</f>
        <v>0</v>
      </c>
      <c r="AU360" s="68">
        <f>SUM(AL361:AL361)</f>
        <v>0</v>
      </c>
    </row>
    <row r="361" spans="1:62" ht="15">
      <c r="A361" s="69" t="s">
        <v>714</v>
      </c>
      <c r="B361" s="69" t="s">
        <v>715</v>
      </c>
      <c r="C361" s="696" t="s">
        <v>716</v>
      </c>
      <c r="D361" s="693"/>
      <c r="E361" s="693"/>
      <c r="F361" s="69" t="s">
        <v>132</v>
      </c>
      <c r="G361" s="70">
        <v>0.05</v>
      </c>
      <c r="H361" s="580">
        <v>0</v>
      </c>
      <c r="I361" s="70">
        <f>G361*AO361</f>
        <v>0</v>
      </c>
      <c r="J361" s="70">
        <f>G361*AP361</f>
        <v>0</v>
      </c>
      <c r="K361" s="70">
        <f>G361*H361</f>
        <v>0</v>
      </c>
      <c r="L361" s="71" t="s">
        <v>120</v>
      </c>
      <c r="Z361" s="70">
        <f>IF(AQ361="5",BJ361,0)</f>
        <v>0</v>
      </c>
      <c r="AB361" s="70">
        <f>IF(AQ361="1",BH361,0)</f>
        <v>0</v>
      </c>
      <c r="AC361" s="70">
        <f>IF(AQ361="1",BI361,0)</f>
        <v>0</v>
      </c>
      <c r="AD361" s="70">
        <f>IF(AQ361="7",BH361,0)</f>
        <v>0</v>
      </c>
      <c r="AE361" s="70">
        <f>IF(AQ361="7",BI361,0)</f>
        <v>0</v>
      </c>
      <c r="AF361" s="70">
        <f>IF(AQ361="2",BH361,0)</f>
        <v>0</v>
      </c>
      <c r="AG361" s="70">
        <f>IF(AQ361="2",BI361,0)</f>
        <v>0</v>
      </c>
      <c r="AH361" s="70">
        <f>IF(AQ361="0",BJ361,0)</f>
        <v>0</v>
      </c>
      <c r="AI361" s="67" t="s">
        <v>212</v>
      </c>
      <c r="AJ361" s="70">
        <f>IF(AN361=0,K361,0)</f>
        <v>0</v>
      </c>
      <c r="AK361" s="70">
        <f>IF(AN361=15,K361,0)</f>
        <v>0</v>
      </c>
      <c r="AL361" s="70">
        <f>IF(AN361=21,K361,0)</f>
        <v>0</v>
      </c>
      <c r="AN361" s="70">
        <v>21</v>
      </c>
      <c r="AO361" s="70">
        <f>H361*0</f>
        <v>0</v>
      </c>
      <c r="AP361" s="70">
        <f>H361*(1-0)</f>
        <v>0</v>
      </c>
      <c r="AQ361" s="71" t="s">
        <v>124</v>
      </c>
      <c r="AV361" s="70">
        <f>AW361+AX361</f>
        <v>0</v>
      </c>
      <c r="AW361" s="70">
        <f>G361*AO361</f>
        <v>0</v>
      </c>
      <c r="AX361" s="70">
        <f>G361*AP361</f>
        <v>0</v>
      </c>
      <c r="AY361" s="71" t="s">
        <v>717</v>
      </c>
      <c r="AZ361" s="71" t="s">
        <v>718</v>
      </c>
      <c r="BA361" s="67" t="s">
        <v>709</v>
      </c>
      <c r="BC361" s="70">
        <f>AW361+AX361</f>
        <v>0</v>
      </c>
      <c r="BD361" s="70">
        <f>H361/(100-BE361)*100</f>
        <v>0</v>
      </c>
      <c r="BE361" s="70">
        <v>0</v>
      </c>
      <c r="BF361" s="70">
        <f>361</f>
        <v>361</v>
      </c>
      <c r="BH361" s="70">
        <f>G361*AO361</f>
        <v>0</v>
      </c>
      <c r="BI361" s="70">
        <f>G361*AP361</f>
        <v>0</v>
      </c>
      <c r="BJ361" s="70">
        <f>G361*H361</f>
        <v>0</v>
      </c>
    </row>
    <row r="362" spans="1:47" ht="15">
      <c r="A362" s="88"/>
      <c r="B362" s="89"/>
      <c r="C362" s="710" t="s">
        <v>52</v>
      </c>
      <c r="D362" s="711"/>
      <c r="E362" s="711"/>
      <c r="F362" s="88" t="s">
        <v>70</v>
      </c>
      <c r="G362" s="88" t="s">
        <v>70</v>
      </c>
      <c r="H362" s="88" t="s">
        <v>70</v>
      </c>
      <c r="I362" s="90">
        <f>SUM(I363:I363)</f>
        <v>0</v>
      </c>
      <c r="J362" s="90">
        <f>SUM(J363:J363)</f>
        <v>0</v>
      </c>
      <c r="K362" s="90">
        <f>SUM(K363:K363)</f>
        <v>0</v>
      </c>
      <c r="L362" s="91"/>
      <c r="AI362" s="67" t="s">
        <v>212</v>
      </c>
      <c r="AS362" s="68">
        <f>SUM(AJ363:AJ363)</f>
        <v>0</v>
      </c>
      <c r="AT362" s="68">
        <f>SUM(AK363:AK363)</f>
        <v>0</v>
      </c>
      <c r="AU362" s="68">
        <f>SUM(AL363:AL363)</f>
        <v>0</v>
      </c>
    </row>
    <row r="363" spans="1:62" ht="15">
      <c r="A363" s="69" t="s">
        <v>719</v>
      </c>
      <c r="B363" s="69" t="s">
        <v>720</v>
      </c>
      <c r="C363" s="696" t="s">
        <v>721</v>
      </c>
      <c r="D363" s="693"/>
      <c r="E363" s="693"/>
      <c r="F363" s="69" t="s">
        <v>697</v>
      </c>
      <c r="G363" s="70">
        <v>3</v>
      </c>
      <c r="H363" s="580">
        <v>0</v>
      </c>
      <c r="I363" s="70">
        <f>G363*AO363</f>
        <v>0</v>
      </c>
      <c r="J363" s="70">
        <f>G363*AP363</f>
        <v>0</v>
      </c>
      <c r="K363" s="70">
        <f>G363*H363</f>
        <v>0</v>
      </c>
      <c r="L363" s="71" t="s">
        <v>120</v>
      </c>
      <c r="Z363" s="70">
        <f>IF(AQ363="5",BJ363,0)</f>
        <v>0</v>
      </c>
      <c r="AB363" s="70">
        <f>IF(AQ363="1",BH363,0)</f>
        <v>0</v>
      </c>
      <c r="AC363" s="70">
        <f>IF(AQ363="1",BI363,0)</f>
        <v>0</v>
      </c>
      <c r="AD363" s="70">
        <f>IF(AQ363="7",BH363,0)</f>
        <v>0</v>
      </c>
      <c r="AE363" s="70">
        <f>IF(AQ363="7",BI363,0)</f>
        <v>0</v>
      </c>
      <c r="AF363" s="70">
        <f>IF(AQ363="2",BH363,0)</f>
        <v>0</v>
      </c>
      <c r="AG363" s="70">
        <f>IF(AQ363="2",BI363,0)</f>
        <v>0</v>
      </c>
      <c r="AH363" s="70">
        <f>IF(AQ363="0",BJ363,0)</f>
        <v>0</v>
      </c>
      <c r="AI363" s="67" t="s">
        <v>212</v>
      </c>
      <c r="AJ363" s="70">
        <f>IF(AN363=0,K363,0)</f>
        <v>0</v>
      </c>
      <c r="AK363" s="70">
        <f>IF(AN363=15,K363,0)</f>
        <v>0</v>
      </c>
      <c r="AL363" s="70">
        <f>IF(AN363=21,K363,0)</f>
        <v>0</v>
      </c>
      <c r="AN363" s="70">
        <v>21</v>
      </c>
      <c r="AO363" s="70">
        <f>H363*1</f>
        <v>0</v>
      </c>
      <c r="AP363" s="70">
        <f>H363*(1-1)</f>
        <v>0</v>
      </c>
      <c r="AQ363" s="71" t="s">
        <v>355</v>
      </c>
      <c r="AV363" s="70">
        <f>AW363+AX363</f>
        <v>0</v>
      </c>
      <c r="AW363" s="70">
        <f>G363*AO363</f>
        <v>0</v>
      </c>
      <c r="AX363" s="70">
        <f>G363*AP363</f>
        <v>0</v>
      </c>
      <c r="AY363" s="71" t="s">
        <v>356</v>
      </c>
      <c r="AZ363" s="71" t="s">
        <v>722</v>
      </c>
      <c r="BA363" s="67" t="s">
        <v>709</v>
      </c>
      <c r="BC363" s="70">
        <f>AW363+AX363</f>
        <v>0</v>
      </c>
      <c r="BD363" s="70">
        <f>H363/(100-BE363)*100</f>
        <v>0</v>
      </c>
      <c r="BE363" s="70">
        <v>0</v>
      </c>
      <c r="BF363" s="70">
        <f>363</f>
        <v>363</v>
      </c>
      <c r="BH363" s="70">
        <f>G363*AO363</f>
        <v>0</v>
      </c>
      <c r="BI363" s="70">
        <f>G363*AP363</f>
        <v>0</v>
      </c>
      <c r="BJ363" s="70">
        <f>G363*H363</f>
        <v>0</v>
      </c>
    </row>
    <row r="364" spans="1:12" ht="15">
      <c r="A364" s="48"/>
      <c r="B364" s="49"/>
      <c r="C364" s="727" t="s">
        <v>723</v>
      </c>
      <c r="D364" s="728"/>
      <c r="E364" s="728"/>
      <c r="F364" s="48" t="s">
        <v>70</v>
      </c>
      <c r="G364" s="48" t="s">
        <v>70</v>
      </c>
      <c r="H364" s="48" t="s">
        <v>70</v>
      </c>
      <c r="I364" s="50">
        <f>I365+I367+I369+I371</f>
        <v>0</v>
      </c>
      <c r="J364" s="50">
        <f>J365+J367+J369+J371</f>
        <v>0</v>
      </c>
      <c r="K364" s="50">
        <f>K365+K367+K369+K371</f>
        <v>0</v>
      </c>
      <c r="L364" s="51"/>
    </row>
    <row r="365" spans="1:47" ht="15">
      <c r="A365" s="88"/>
      <c r="B365" s="89" t="s">
        <v>724</v>
      </c>
      <c r="C365" s="710" t="s">
        <v>725</v>
      </c>
      <c r="D365" s="711"/>
      <c r="E365" s="711"/>
      <c r="F365" s="88" t="s">
        <v>70</v>
      </c>
      <c r="G365" s="88" t="s">
        <v>70</v>
      </c>
      <c r="H365" s="88" t="s">
        <v>70</v>
      </c>
      <c r="I365" s="90">
        <f>SUM(I366:I366)</f>
        <v>0</v>
      </c>
      <c r="J365" s="90">
        <f>SUM(J366:J366)</f>
        <v>0</v>
      </c>
      <c r="K365" s="90">
        <f>SUM(K366:K366)</f>
        <v>0</v>
      </c>
      <c r="L365" s="91"/>
      <c r="AI365" s="67" t="s">
        <v>215</v>
      </c>
      <c r="AS365" s="68">
        <f>SUM(AJ366:AJ366)</f>
        <v>0</v>
      </c>
      <c r="AT365" s="68">
        <f>SUM(AK366:AK366)</f>
        <v>0</v>
      </c>
      <c r="AU365" s="68">
        <f>SUM(AL366:AL366)</f>
        <v>0</v>
      </c>
    </row>
    <row r="366" spans="1:62" ht="15">
      <c r="A366" s="69" t="s">
        <v>726</v>
      </c>
      <c r="B366" s="69" t="s">
        <v>727</v>
      </c>
      <c r="C366" s="696" t="s">
        <v>728</v>
      </c>
      <c r="D366" s="693"/>
      <c r="E366" s="693"/>
      <c r="F366" s="69" t="s">
        <v>209</v>
      </c>
      <c r="G366" s="70">
        <v>33.2</v>
      </c>
      <c r="H366" s="580">
        <v>0</v>
      </c>
      <c r="I366" s="70">
        <f>G366*AO366</f>
        <v>0</v>
      </c>
      <c r="J366" s="70">
        <f>G366*AP366</f>
        <v>0</v>
      </c>
      <c r="K366" s="70">
        <f>G366*H366</f>
        <v>0</v>
      </c>
      <c r="L366" s="71"/>
      <c r="Z366" s="70">
        <f>IF(AQ366="5",BJ366,0)</f>
        <v>0</v>
      </c>
      <c r="AB366" s="70">
        <f>IF(AQ366="1",BH366,0)</f>
        <v>0</v>
      </c>
      <c r="AC366" s="70">
        <f>IF(AQ366="1",BI366,0)</f>
        <v>0</v>
      </c>
      <c r="AD366" s="70">
        <f>IF(AQ366="7",BH366,0)</f>
        <v>0</v>
      </c>
      <c r="AE366" s="70">
        <f>IF(AQ366="7",BI366,0)</f>
        <v>0</v>
      </c>
      <c r="AF366" s="70">
        <f>IF(AQ366="2",BH366,0)</f>
        <v>0</v>
      </c>
      <c r="AG366" s="70">
        <f>IF(AQ366="2",BI366,0)</f>
        <v>0</v>
      </c>
      <c r="AH366" s="70">
        <f>IF(AQ366="0",BJ366,0)</f>
        <v>0</v>
      </c>
      <c r="AI366" s="67" t="s">
        <v>215</v>
      </c>
      <c r="AJ366" s="70">
        <f>IF(AN366=0,K366,0)</f>
        <v>0</v>
      </c>
      <c r="AK366" s="70">
        <f>IF(AN366=15,K366,0)</f>
        <v>0</v>
      </c>
      <c r="AL366" s="70">
        <f>IF(AN366=21,K366,0)</f>
        <v>0</v>
      </c>
      <c r="AN366" s="70">
        <v>21</v>
      </c>
      <c r="AO366" s="70">
        <f>H366*0</f>
        <v>0</v>
      </c>
      <c r="AP366" s="70">
        <f>H366*(1-0)</f>
        <v>0</v>
      </c>
      <c r="AQ366" s="71" t="s">
        <v>106</v>
      </c>
      <c r="AV366" s="70">
        <f>AW366+AX366</f>
        <v>0</v>
      </c>
      <c r="AW366" s="70">
        <f>G366*AO366</f>
        <v>0</v>
      </c>
      <c r="AX366" s="70">
        <f>G366*AP366</f>
        <v>0</v>
      </c>
      <c r="AY366" s="71" t="s">
        <v>729</v>
      </c>
      <c r="AZ366" s="71" t="s">
        <v>730</v>
      </c>
      <c r="BA366" s="67" t="s">
        <v>731</v>
      </c>
      <c r="BC366" s="70">
        <f>AW366+AX366</f>
        <v>0</v>
      </c>
      <c r="BD366" s="70">
        <f>H366/(100-BE366)*100</f>
        <v>0</v>
      </c>
      <c r="BE366" s="70">
        <v>0</v>
      </c>
      <c r="BF366" s="70">
        <f>366</f>
        <v>366</v>
      </c>
      <c r="BH366" s="70">
        <f>G366*AO366</f>
        <v>0</v>
      </c>
      <c r="BI366" s="70">
        <f>G366*AP366</f>
        <v>0</v>
      </c>
      <c r="BJ366" s="70">
        <f>G366*H366</f>
        <v>0</v>
      </c>
    </row>
    <row r="367" spans="1:47" ht="15">
      <c r="A367" s="88"/>
      <c r="B367" s="89" t="s">
        <v>321</v>
      </c>
      <c r="C367" s="710" t="s">
        <v>605</v>
      </c>
      <c r="D367" s="711"/>
      <c r="E367" s="711"/>
      <c r="F367" s="88" t="s">
        <v>70</v>
      </c>
      <c r="G367" s="88" t="s">
        <v>70</v>
      </c>
      <c r="H367" s="88" t="s">
        <v>70</v>
      </c>
      <c r="I367" s="90">
        <f>SUM(I368:I368)</f>
        <v>0</v>
      </c>
      <c r="J367" s="90">
        <f>SUM(J368:J368)</f>
        <v>0</v>
      </c>
      <c r="K367" s="90">
        <f>SUM(K368:K368)</f>
        <v>0</v>
      </c>
      <c r="L367" s="91"/>
      <c r="AI367" s="67" t="s">
        <v>215</v>
      </c>
      <c r="AS367" s="68">
        <f>SUM(AJ368:AJ368)</f>
        <v>0</v>
      </c>
      <c r="AT367" s="68">
        <f>SUM(AK368:AK368)</f>
        <v>0</v>
      </c>
      <c r="AU367" s="68">
        <f>SUM(AL368:AL368)</f>
        <v>0</v>
      </c>
    </row>
    <row r="368" spans="1:62" ht="15">
      <c r="A368" s="69" t="s">
        <v>732</v>
      </c>
      <c r="B368" s="69" t="s">
        <v>733</v>
      </c>
      <c r="C368" s="696" t="s">
        <v>734</v>
      </c>
      <c r="D368" s="693"/>
      <c r="E368" s="693"/>
      <c r="F368" s="69" t="s">
        <v>674</v>
      </c>
      <c r="G368" s="70">
        <v>33</v>
      </c>
      <c r="H368" s="580">
        <v>0</v>
      </c>
      <c r="I368" s="70">
        <f>G368*AO368</f>
        <v>0</v>
      </c>
      <c r="J368" s="70">
        <f>G368*AP368</f>
        <v>0</v>
      </c>
      <c r="K368" s="70">
        <f>G368*H368</f>
        <v>0</v>
      </c>
      <c r="L368" s="71" t="s">
        <v>120</v>
      </c>
      <c r="Z368" s="70">
        <f>IF(AQ368="5",BJ368,0)</f>
        <v>0</v>
      </c>
      <c r="AB368" s="70">
        <f>IF(AQ368="1",BH368,0)</f>
        <v>0</v>
      </c>
      <c r="AC368" s="70">
        <f>IF(AQ368="1",BI368,0)</f>
        <v>0</v>
      </c>
      <c r="AD368" s="70">
        <f>IF(AQ368="7",BH368,0)</f>
        <v>0</v>
      </c>
      <c r="AE368" s="70">
        <f>IF(AQ368="7",BI368,0)</f>
        <v>0</v>
      </c>
      <c r="AF368" s="70">
        <f>IF(AQ368="2",BH368,0)</f>
        <v>0</v>
      </c>
      <c r="AG368" s="70">
        <f>IF(AQ368="2",BI368,0)</f>
        <v>0</v>
      </c>
      <c r="AH368" s="70">
        <f>IF(AQ368="0",BJ368,0)</f>
        <v>0</v>
      </c>
      <c r="AI368" s="67" t="s">
        <v>215</v>
      </c>
      <c r="AJ368" s="70">
        <f>IF(AN368=0,K368,0)</f>
        <v>0</v>
      </c>
      <c r="AK368" s="70">
        <f>IF(AN368=15,K368,0)</f>
        <v>0</v>
      </c>
      <c r="AL368" s="70">
        <f>IF(AN368=21,K368,0)</f>
        <v>0</v>
      </c>
      <c r="AN368" s="70">
        <v>21</v>
      </c>
      <c r="AO368" s="70">
        <f>H368*0.973138461538462</f>
        <v>0</v>
      </c>
      <c r="AP368" s="70">
        <f>H368*(1-0.973138461538462)</f>
        <v>0</v>
      </c>
      <c r="AQ368" s="71" t="s">
        <v>106</v>
      </c>
      <c r="AV368" s="70">
        <f>AW368+AX368</f>
        <v>0</v>
      </c>
      <c r="AW368" s="70">
        <f>G368*AO368</f>
        <v>0</v>
      </c>
      <c r="AX368" s="70">
        <f>G368*AP368</f>
        <v>0</v>
      </c>
      <c r="AY368" s="71" t="s">
        <v>607</v>
      </c>
      <c r="AZ368" s="71" t="s">
        <v>735</v>
      </c>
      <c r="BA368" s="67" t="s">
        <v>731</v>
      </c>
      <c r="BC368" s="70">
        <f>AW368+AX368</f>
        <v>0</v>
      </c>
      <c r="BD368" s="70">
        <f>H368/(100-BE368)*100</f>
        <v>0</v>
      </c>
      <c r="BE368" s="70">
        <v>0</v>
      </c>
      <c r="BF368" s="70">
        <f>368</f>
        <v>368</v>
      </c>
      <c r="BH368" s="70">
        <f>G368*AO368</f>
        <v>0</v>
      </c>
      <c r="BI368" s="70">
        <f>G368*AP368</f>
        <v>0</v>
      </c>
      <c r="BJ368" s="70">
        <f>G368*H368</f>
        <v>0</v>
      </c>
    </row>
    <row r="369" spans="1:47" ht="15">
      <c r="A369" s="88"/>
      <c r="B369" s="89" t="s">
        <v>736</v>
      </c>
      <c r="C369" s="710" t="s">
        <v>737</v>
      </c>
      <c r="D369" s="711"/>
      <c r="E369" s="711"/>
      <c r="F369" s="88" t="s">
        <v>70</v>
      </c>
      <c r="G369" s="88" t="s">
        <v>70</v>
      </c>
      <c r="H369" s="88" t="s">
        <v>70</v>
      </c>
      <c r="I369" s="90">
        <f>SUM(I370:I370)</f>
        <v>0</v>
      </c>
      <c r="J369" s="90">
        <f>SUM(J370:J370)</f>
        <v>0</v>
      </c>
      <c r="K369" s="90">
        <f>SUM(K370:K370)</f>
        <v>0</v>
      </c>
      <c r="L369" s="91"/>
      <c r="AI369" s="67" t="s">
        <v>215</v>
      </c>
      <c r="AS369" s="68">
        <f>SUM(AJ370:AJ370)</f>
        <v>0</v>
      </c>
      <c r="AT369" s="68">
        <f>SUM(AK370:AK370)</f>
        <v>0</v>
      </c>
      <c r="AU369" s="68">
        <f>SUM(AL370:AL370)</f>
        <v>0</v>
      </c>
    </row>
    <row r="370" spans="1:62" ht="15">
      <c r="A370" s="69" t="s">
        <v>738</v>
      </c>
      <c r="B370" s="69" t="s">
        <v>739</v>
      </c>
      <c r="C370" s="696" t="s">
        <v>740</v>
      </c>
      <c r="D370" s="693"/>
      <c r="E370" s="693"/>
      <c r="F370" s="69" t="s">
        <v>132</v>
      </c>
      <c r="G370" s="70">
        <v>0.1</v>
      </c>
      <c r="H370" s="580">
        <v>0</v>
      </c>
      <c r="I370" s="70">
        <f>G370*AO370</f>
        <v>0</v>
      </c>
      <c r="J370" s="70">
        <f>G370*AP370</f>
        <v>0</v>
      </c>
      <c r="K370" s="70">
        <f>G370*H370</f>
        <v>0</v>
      </c>
      <c r="L370" s="71" t="s">
        <v>120</v>
      </c>
      <c r="Z370" s="70">
        <f>IF(AQ370="5",BJ370,0)</f>
        <v>0</v>
      </c>
      <c r="AB370" s="70">
        <f>IF(AQ370="1",BH370,0)</f>
        <v>0</v>
      </c>
      <c r="AC370" s="70">
        <f>IF(AQ370="1",BI370,0)</f>
        <v>0</v>
      </c>
      <c r="AD370" s="70">
        <f>IF(AQ370="7",BH370,0)</f>
        <v>0</v>
      </c>
      <c r="AE370" s="70">
        <f>IF(AQ370="7",BI370,0)</f>
        <v>0</v>
      </c>
      <c r="AF370" s="70">
        <f>IF(AQ370="2",BH370,0)</f>
        <v>0</v>
      </c>
      <c r="AG370" s="70">
        <f>IF(AQ370="2",BI370,0)</f>
        <v>0</v>
      </c>
      <c r="AH370" s="70">
        <f>IF(AQ370="0",BJ370,0)</f>
        <v>0</v>
      </c>
      <c r="AI370" s="67" t="s">
        <v>215</v>
      </c>
      <c r="AJ370" s="70">
        <f>IF(AN370=0,K370,0)</f>
        <v>0</v>
      </c>
      <c r="AK370" s="70">
        <f>IF(AN370=15,K370,0)</f>
        <v>0</v>
      </c>
      <c r="AL370" s="70">
        <f>IF(AN370=21,K370,0)</f>
        <v>0</v>
      </c>
      <c r="AN370" s="70">
        <v>21</v>
      </c>
      <c r="AO370" s="70">
        <f>H370*0</f>
        <v>0</v>
      </c>
      <c r="AP370" s="70">
        <f>H370*(1-0)</f>
        <v>0</v>
      </c>
      <c r="AQ370" s="71" t="s">
        <v>124</v>
      </c>
      <c r="AV370" s="70">
        <f>AW370+AX370</f>
        <v>0</v>
      </c>
      <c r="AW370" s="70">
        <f>G370*AO370</f>
        <v>0</v>
      </c>
      <c r="AX370" s="70">
        <f>G370*AP370</f>
        <v>0</v>
      </c>
      <c r="AY370" s="71" t="s">
        <v>741</v>
      </c>
      <c r="AZ370" s="71" t="s">
        <v>742</v>
      </c>
      <c r="BA370" s="67" t="s">
        <v>731</v>
      </c>
      <c r="BC370" s="70">
        <f>AW370+AX370</f>
        <v>0</v>
      </c>
      <c r="BD370" s="70">
        <f>H370/(100-BE370)*100</f>
        <v>0</v>
      </c>
      <c r="BE370" s="70">
        <v>0</v>
      </c>
      <c r="BF370" s="70">
        <f>370</f>
        <v>370</v>
      </c>
      <c r="BH370" s="70">
        <f>G370*AO370</f>
        <v>0</v>
      </c>
      <c r="BI370" s="70">
        <f>G370*AP370</f>
        <v>0</v>
      </c>
      <c r="BJ370" s="70">
        <f>G370*H370</f>
        <v>0</v>
      </c>
    </row>
    <row r="371" spans="1:47" ht="15">
      <c r="A371" s="88"/>
      <c r="B371" s="89" t="s">
        <v>127</v>
      </c>
      <c r="C371" s="710" t="s">
        <v>128</v>
      </c>
      <c r="D371" s="711"/>
      <c r="E371" s="711"/>
      <c r="F371" s="88" t="s">
        <v>70</v>
      </c>
      <c r="G371" s="88" t="s">
        <v>70</v>
      </c>
      <c r="H371" s="88" t="s">
        <v>70</v>
      </c>
      <c r="I371" s="90">
        <f>SUM(I372:I373)</f>
        <v>0</v>
      </c>
      <c r="J371" s="90">
        <f>SUM(J372:J373)</f>
        <v>0</v>
      </c>
      <c r="K371" s="90">
        <f>SUM(K372:K373)</f>
        <v>0</v>
      </c>
      <c r="L371" s="91"/>
      <c r="AI371" s="67" t="s">
        <v>215</v>
      </c>
      <c r="AS371" s="68">
        <f>SUM(AJ372:AJ373)</f>
        <v>0</v>
      </c>
      <c r="AT371" s="68">
        <f>SUM(AK372:AK373)</f>
        <v>0</v>
      </c>
      <c r="AU371" s="68">
        <f>SUM(AL372:AL373)</f>
        <v>0</v>
      </c>
    </row>
    <row r="372" spans="1:62" ht="15">
      <c r="A372" s="69" t="s">
        <v>743</v>
      </c>
      <c r="B372" s="69" t="s">
        <v>130</v>
      </c>
      <c r="C372" s="696" t="s">
        <v>131</v>
      </c>
      <c r="D372" s="693"/>
      <c r="E372" s="693"/>
      <c r="F372" s="69" t="s">
        <v>132</v>
      </c>
      <c r="G372" s="70">
        <v>2.5</v>
      </c>
      <c r="H372" s="580">
        <v>0</v>
      </c>
      <c r="I372" s="70">
        <f>G372*AO372</f>
        <v>0</v>
      </c>
      <c r="J372" s="70">
        <f>G372*AP372</f>
        <v>0</v>
      </c>
      <c r="K372" s="70">
        <f>G372*H372</f>
        <v>0</v>
      </c>
      <c r="L372" s="71" t="s">
        <v>110</v>
      </c>
      <c r="Z372" s="70">
        <f>IF(AQ372="5",BJ372,0)</f>
        <v>0</v>
      </c>
      <c r="AB372" s="70">
        <f>IF(AQ372="1",BH372,0)</f>
        <v>0</v>
      </c>
      <c r="AC372" s="70">
        <f>IF(AQ372="1",BI372,0)</f>
        <v>0</v>
      </c>
      <c r="AD372" s="70">
        <f>IF(AQ372="7",BH372,0)</f>
        <v>0</v>
      </c>
      <c r="AE372" s="70">
        <f>IF(AQ372="7",BI372,0)</f>
        <v>0</v>
      </c>
      <c r="AF372" s="70">
        <f>IF(AQ372="2",BH372,0)</f>
        <v>0</v>
      </c>
      <c r="AG372" s="70">
        <f>IF(AQ372="2",BI372,0)</f>
        <v>0</v>
      </c>
      <c r="AH372" s="70">
        <f>IF(AQ372="0",BJ372,0)</f>
        <v>0</v>
      </c>
      <c r="AI372" s="67" t="s">
        <v>215</v>
      </c>
      <c r="AJ372" s="70">
        <f>IF(AN372=0,K372,0)</f>
        <v>0</v>
      </c>
      <c r="AK372" s="70">
        <f>IF(AN372=15,K372,0)</f>
        <v>0</v>
      </c>
      <c r="AL372" s="70">
        <f>IF(AN372=21,K372,0)</f>
        <v>0</v>
      </c>
      <c r="AN372" s="70">
        <v>21</v>
      </c>
      <c r="AO372" s="70">
        <f>H372*0.0106885245901639</f>
        <v>0</v>
      </c>
      <c r="AP372" s="70">
        <f>H372*(1-0.0106885245901639)</f>
        <v>0</v>
      </c>
      <c r="AQ372" s="71" t="s">
        <v>124</v>
      </c>
      <c r="AV372" s="70">
        <f>AW372+AX372</f>
        <v>0</v>
      </c>
      <c r="AW372" s="70">
        <f>G372*AO372</f>
        <v>0</v>
      </c>
      <c r="AX372" s="70">
        <f>G372*AP372</f>
        <v>0</v>
      </c>
      <c r="AY372" s="71" t="s">
        <v>133</v>
      </c>
      <c r="AZ372" s="71" t="s">
        <v>742</v>
      </c>
      <c r="BA372" s="67" t="s">
        <v>731</v>
      </c>
      <c r="BC372" s="70">
        <f>AW372+AX372</f>
        <v>0</v>
      </c>
      <c r="BD372" s="70">
        <f>H372/(100-BE372)*100</f>
        <v>0</v>
      </c>
      <c r="BE372" s="70">
        <v>0</v>
      </c>
      <c r="BF372" s="70">
        <f>372</f>
        <v>372</v>
      </c>
      <c r="BH372" s="70">
        <f>G372*AO372</f>
        <v>0</v>
      </c>
      <c r="BI372" s="70">
        <f>G372*AP372</f>
        <v>0</v>
      </c>
      <c r="BJ372" s="70">
        <f>G372*H372</f>
        <v>0</v>
      </c>
    </row>
    <row r="373" spans="1:62" ht="15">
      <c r="A373" s="69" t="s">
        <v>744</v>
      </c>
      <c r="B373" s="69" t="s">
        <v>137</v>
      </c>
      <c r="C373" s="696" t="s">
        <v>138</v>
      </c>
      <c r="D373" s="693"/>
      <c r="E373" s="693"/>
      <c r="F373" s="69" t="s">
        <v>132</v>
      </c>
      <c r="G373" s="70">
        <v>2.5</v>
      </c>
      <c r="H373" s="580">
        <v>0</v>
      </c>
      <c r="I373" s="70">
        <f>G373*AO373</f>
        <v>0</v>
      </c>
      <c r="J373" s="70">
        <f>G373*AP373</f>
        <v>0</v>
      </c>
      <c r="K373" s="70">
        <f>G373*H373</f>
        <v>0</v>
      </c>
      <c r="L373" s="71" t="s">
        <v>110</v>
      </c>
      <c r="Z373" s="70">
        <f>IF(AQ373="5",BJ373,0)</f>
        <v>0</v>
      </c>
      <c r="AB373" s="70">
        <f>IF(AQ373="1",BH373,0)</f>
        <v>0</v>
      </c>
      <c r="AC373" s="70">
        <f>IF(AQ373="1",BI373,0)</f>
        <v>0</v>
      </c>
      <c r="AD373" s="70">
        <f>IF(AQ373="7",BH373,0)</f>
        <v>0</v>
      </c>
      <c r="AE373" s="70">
        <f>IF(AQ373="7",BI373,0)</f>
        <v>0</v>
      </c>
      <c r="AF373" s="70">
        <f>IF(AQ373="2",BH373,0)</f>
        <v>0</v>
      </c>
      <c r="AG373" s="70">
        <f>IF(AQ373="2",BI373,0)</f>
        <v>0</v>
      </c>
      <c r="AH373" s="70">
        <f>IF(AQ373="0",BJ373,0)</f>
        <v>0</v>
      </c>
      <c r="AI373" s="67" t="s">
        <v>215</v>
      </c>
      <c r="AJ373" s="70">
        <f>IF(AN373=0,K373,0)</f>
        <v>0</v>
      </c>
      <c r="AK373" s="70">
        <f>IF(AN373=15,K373,0)</f>
        <v>0</v>
      </c>
      <c r="AL373" s="70">
        <f>IF(AN373=21,K373,0)</f>
        <v>0</v>
      </c>
      <c r="AN373" s="70">
        <v>21</v>
      </c>
      <c r="AO373" s="70">
        <f>H373*0</f>
        <v>0</v>
      </c>
      <c r="AP373" s="70">
        <f>H373*(1-0)</f>
        <v>0</v>
      </c>
      <c r="AQ373" s="71" t="s">
        <v>124</v>
      </c>
      <c r="AV373" s="70">
        <f>AW373+AX373</f>
        <v>0</v>
      </c>
      <c r="AW373" s="70">
        <f>G373*AO373</f>
        <v>0</v>
      </c>
      <c r="AX373" s="70">
        <f>G373*AP373</f>
        <v>0</v>
      </c>
      <c r="AY373" s="71" t="s">
        <v>133</v>
      </c>
      <c r="AZ373" s="71" t="s">
        <v>742</v>
      </c>
      <c r="BA373" s="67" t="s">
        <v>731</v>
      </c>
      <c r="BC373" s="70">
        <f>AW373+AX373</f>
        <v>0</v>
      </c>
      <c r="BD373" s="70">
        <f>H373/(100-BE373)*100</f>
        <v>0</v>
      </c>
      <c r="BE373" s="70">
        <v>0</v>
      </c>
      <c r="BF373" s="70">
        <f>373</f>
        <v>373</v>
      </c>
      <c r="BH373" s="70">
        <f>G373*AO373</f>
        <v>0</v>
      </c>
      <c r="BI373" s="70">
        <f>G373*AP373</f>
        <v>0</v>
      </c>
      <c r="BJ373" s="70">
        <f>G373*H373</f>
        <v>0</v>
      </c>
    </row>
    <row r="374" spans="1:12" ht="15">
      <c r="A374" s="48"/>
      <c r="B374" s="49"/>
      <c r="C374" s="727" t="s">
        <v>745</v>
      </c>
      <c r="D374" s="728"/>
      <c r="E374" s="728"/>
      <c r="F374" s="48" t="s">
        <v>70</v>
      </c>
      <c r="G374" s="48" t="s">
        <v>70</v>
      </c>
      <c r="H374" s="48" t="s">
        <v>70</v>
      </c>
      <c r="I374" s="50">
        <f>I375+I378+I388+I390</f>
        <v>0</v>
      </c>
      <c r="J374" s="50">
        <f>J375+J378+J388+J390</f>
        <v>0</v>
      </c>
      <c r="K374" s="50">
        <f>K375+K378+K388+K390</f>
        <v>0</v>
      </c>
      <c r="L374" s="51"/>
    </row>
    <row r="375" spans="1:47" ht="15">
      <c r="A375" s="88"/>
      <c r="B375" s="89" t="s">
        <v>169</v>
      </c>
      <c r="C375" s="710" t="s">
        <v>278</v>
      </c>
      <c r="D375" s="711"/>
      <c r="E375" s="711"/>
      <c r="F375" s="88" t="s">
        <v>70</v>
      </c>
      <c r="G375" s="88" t="s">
        <v>70</v>
      </c>
      <c r="H375" s="88" t="s">
        <v>70</v>
      </c>
      <c r="I375" s="90">
        <f>SUM(I376:I376)</f>
        <v>0</v>
      </c>
      <c r="J375" s="90">
        <f>SUM(J376:J376)</f>
        <v>0</v>
      </c>
      <c r="K375" s="90">
        <f>SUM(K376:K376)</f>
        <v>0</v>
      </c>
      <c r="L375" s="91"/>
      <c r="AI375" s="67" t="s">
        <v>218</v>
      </c>
      <c r="AS375" s="68">
        <f>SUM(AJ376:AJ376)</f>
        <v>0</v>
      </c>
      <c r="AT375" s="68">
        <f>SUM(AK376:AK376)</f>
        <v>0</v>
      </c>
      <c r="AU375" s="68">
        <f>SUM(AL376:AL376)</f>
        <v>0</v>
      </c>
    </row>
    <row r="376" spans="1:62" ht="15">
      <c r="A376" s="69" t="s">
        <v>746</v>
      </c>
      <c r="B376" s="69" t="s">
        <v>318</v>
      </c>
      <c r="C376" s="696" t="s">
        <v>319</v>
      </c>
      <c r="D376" s="693"/>
      <c r="E376" s="693"/>
      <c r="F376" s="69" t="s">
        <v>109</v>
      </c>
      <c r="G376" s="70">
        <v>3.6</v>
      </c>
      <c r="H376" s="580">
        <v>0</v>
      </c>
      <c r="I376" s="70">
        <f>G376*AO376</f>
        <v>0</v>
      </c>
      <c r="J376" s="70">
        <f>G376*AP376</f>
        <v>0</v>
      </c>
      <c r="K376" s="70">
        <f>G376*H376</f>
        <v>0</v>
      </c>
      <c r="L376" s="71" t="s">
        <v>282</v>
      </c>
      <c r="Z376" s="70">
        <f>IF(AQ376="5",BJ376,0)</f>
        <v>0</v>
      </c>
      <c r="AB376" s="70">
        <f>IF(AQ376="1",BH376,0)</f>
        <v>0</v>
      </c>
      <c r="AC376" s="70">
        <f>IF(AQ376="1",BI376,0)</f>
        <v>0</v>
      </c>
      <c r="AD376" s="70">
        <f>IF(AQ376="7",BH376,0)</f>
        <v>0</v>
      </c>
      <c r="AE376" s="70">
        <f>IF(AQ376="7",BI376,0)</f>
        <v>0</v>
      </c>
      <c r="AF376" s="70">
        <f>IF(AQ376="2",BH376,0)</f>
        <v>0</v>
      </c>
      <c r="AG376" s="70">
        <f>IF(AQ376="2",BI376,0)</f>
        <v>0</v>
      </c>
      <c r="AH376" s="70">
        <f>IF(AQ376="0",BJ376,0)</f>
        <v>0</v>
      </c>
      <c r="AI376" s="67" t="s">
        <v>218</v>
      </c>
      <c r="AJ376" s="70">
        <f>IF(AN376=0,K376,0)</f>
        <v>0</v>
      </c>
      <c r="AK376" s="70">
        <f>IF(AN376=15,K376,0)</f>
        <v>0</v>
      </c>
      <c r="AL376" s="70">
        <f>IF(AN376=21,K376,0)</f>
        <v>0</v>
      </c>
      <c r="AN376" s="70">
        <v>21</v>
      </c>
      <c r="AO376" s="70">
        <f>H376*0</f>
        <v>0</v>
      </c>
      <c r="AP376" s="70">
        <f>H376*(1-0)</f>
        <v>0</v>
      </c>
      <c r="AQ376" s="71" t="s">
        <v>106</v>
      </c>
      <c r="AV376" s="70">
        <f>AW376+AX376</f>
        <v>0</v>
      </c>
      <c r="AW376" s="70">
        <f>G376*AO376</f>
        <v>0</v>
      </c>
      <c r="AX376" s="70">
        <f>G376*AP376</f>
        <v>0</v>
      </c>
      <c r="AY376" s="71" t="s">
        <v>283</v>
      </c>
      <c r="AZ376" s="71" t="s">
        <v>747</v>
      </c>
      <c r="BA376" s="67" t="s">
        <v>748</v>
      </c>
      <c r="BC376" s="70">
        <f>AW376+AX376</f>
        <v>0</v>
      </c>
      <c r="BD376" s="70">
        <f>H376/(100-BE376)*100</f>
        <v>0</v>
      </c>
      <c r="BE376" s="70">
        <v>0</v>
      </c>
      <c r="BF376" s="70">
        <f>376</f>
        <v>376</v>
      </c>
      <c r="BH376" s="70">
        <f>G376*AO376</f>
        <v>0</v>
      </c>
      <c r="BI376" s="70">
        <f>G376*AP376</f>
        <v>0</v>
      </c>
      <c r="BJ376" s="70">
        <f>G376*H376</f>
        <v>0</v>
      </c>
    </row>
    <row r="377" spans="2:12" ht="12.75" customHeight="1">
      <c r="B377" s="75" t="s">
        <v>67</v>
      </c>
      <c r="C377" s="725" t="s">
        <v>749</v>
      </c>
      <c r="D377" s="726"/>
      <c r="E377" s="726"/>
      <c r="F377" s="726"/>
      <c r="G377" s="726"/>
      <c r="H377" s="726"/>
      <c r="I377" s="726"/>
      <c r="J377" s="726"/>
      <c r="K377" s="726"/>
      <c r="L377" s="726"/>
    </row>
    <row r="378" spans="1:47" ht="15">
      <c r="A378" s="88"/>
      <c r="B378" s="89" t="s">
        <v>314</v>
      </c>
      <c r="C378" s="710" t="s">
        <v>327</v>
      </c>
      <c r="D378" s="711"/>
      <c r="E378" s="711"/>
      <c r="F378" s="88" t="s">
        <v>70</v>
      </c>
      <c r="G378" s="88" t="s">
        <v>70</v>
      </c>
      <c r="H378" s="88" t="s">
        <v>70</v>
      </c>
      <c r="I378" s="90">
        <f>SUM(I379:I386)</f>
        <v>0</v>
      </c>
      <c r="J378" s="90">
        <f>SUM(J379:J386)</f>
        <v>0</v>
      </c>
      <c r="K378" s="90">
        <f>SUM(K379:K386)</f>
        <v>0</v>
      </c>
      <c r="L378" s="91"/>
      <c r="AI378" s="67" t="s">
        <v>218</v>
      </c>
      <c r="AS378" s="68">
        <f>SUM(AJ379:AJ386)</f>
        <v>0</v>
      </c>
      <c r="AT378" s="68">
        <f>SUM(AK379:AK386)</f>
        <v>0</v>
      </c>
      <c r="AU378" s="68">
        <f>SUM(AL379:AL386)</f>
        <v>0</v>
      </c>
    </row>
    <row r="379" spans="1:62" ht="15">
      <c r="A379" s="69" t="s">
        <v>750</v>
      </c>
      <c r="B379" s="69" t="s">
        <v>329</v>
      </c>
      <c r="C379" s="696" t="s">
        <v>330</v>
      </c>
      <c r="D379" s="693"/>
      <c r="E379" s="693"/>
      <c r="F379" s="69" t="s">
        <v>253</v>
      </c>
      <c r="G379" s="70">
        <v>0.6</v>
      </c>
      <c r="H379" s="580">
        <v>0</v>
      </c>
      <c r="I379" s="70">
        <f>G379*AO379</f>
        <v>0</v>
      </c>
      <c r="J379" s="70">
        <f>G379*AP379</f>
        <v>0</v>
      </c>
      <c r="K379" s="70">
        <f>G379*H379</f>
        <v>0</v>
      </c>
      <c r="L379" s="71" t="s">
        <v>282</v>
      </c>
      <c r="Z379" s="70">
        <f>IF(AQ379="5",BJ379,0)</f>
        <v>0</v>
      </c>
      <c r="AB379" s="70">
        <f>IF(AQ379="1",BH379,0)</f>
        <v>0</v>
      </c>
      <c r="AC379" s="70">
        <f>IF(AQ379="1",BI379,0)</f>
        <v>0</v>
      </c>
      <c r="AD379" s="70">
        <f>IF(AQ379="7",BH379,0)</f>
        <v>0</v>
      </c>
      <c r="AE379" s="70">
        <f>IF(AQ379="7",BI379,0)</f>
        <v>0</v>
      </c>
      <c r="AF379" s="70">
        <f>IF(AQ379="2",BH379,0)</f>
        <v>0</v>
      </c>
      <c r="AG379" s="70">
        <f>IF(AQ379="2",BI379,0)</f>
        <v>0</v>
      </c>
      <c r="AH379" s="70">
        <f>IF(AQ379="0",BJ379,0)</f>
        <v>0</v>
      </c>
      <c r="AI379" s="67" t="s">
        <v>218</v>
      </c>
      <c r="AJ379" s="70">
        <f>IF(AN379=0,K379,0)</f>
        <v>0</v>
      </c>
      <c r="AK379" s="70">
        <f>IF(AN379=15,K379,0)</f>
        <v>0</v>
      </c>
      <c r="AL379" s="70">
        <f>IF(AN379=21,K379,0)</f>
        <v>0</v>
      </c>
      <c r="AN379" s="70">
        <v>21</v>
      </c>
      <c r="AO379" s="70">
        <f>H379*0</f>
        <v>0</v>
      </c>
      <c r="AP379" s="70">
        <f>H379*(1-0)</f>
        <v>0</v>
      </c>
      <c r="AQ379" s="71" t="s">
        <v>106</v>
      </c>
      <c r="AV379" s="70">
        <f>AW379+AX379</f>
        <v>0</v>
      </c>
      <c r="AW379" s="70">
        <f>G379*AO379</f>
        <v>0</v>
      </c>
      <c r="AX379" s="70">
        <f>G379*AP379</f>
        <v>0</v>
      </c>
      <c r="AY379" s="71" t="s">
        <v>331</v>
      </c>
      <c r="AZ379" s="71" t="s">
        <v>751</v>
      </c>
      <c r="BA379" s="67" t="s">
        <v>748</v>
      </c>
      <c r="BC379" s="70">
        <f>AW379+AX379</f>
        <v>0</v>
      </c>
      <c r="BD379" s="70">
        <f>H379/(100-BE379)*100</f>
        <v>0</v>
      </c>
      <c r="BE379" s="70">
        <v>0</v>
      </c>
      <c r="BF379" s="70">
        <f>379</f>
        <v>379</v>
      </c>
      <c r="BH379" s="70">
        <f>G379*AO379</f>
        <v>0</v>
      </c>
      <c r="BI379" s="70">
        <f>G379*AP379</f>
        <v>0</v>
      </c>
      <c r="BJ379" s="70">
        <f>G379*H379</f>
        <v>0</v>
      </c>
    </row>
    <row r="380" spans="2:12" ht="25.35" customHeight="1">
      <c r="B380" s="75" t="s">
        <v>67</v>
      </c>
      <c r="C380" s="725" t="s">
        <v>752</v>
      </c>
      <c r="D380" s="726"/>
      <c r="E380" s="726"/>
      <c r="F380" s="726"/>
      <c r="G380" s="726"/>
      <c r="H380" s="726"/>
      <c r="I380" s="726"/>
      <c r="J380" s="726"/>
      <c r="K380" s="726"/>
      <c r="L380" s="726"/>
    </row>
    <row r="381" spans="1:62" ht="15">
      <c r="A381" s="69" t="s">
        <v>753</v>
      </c>
      <c r="B381" s="69" t="s">
        <v>335</v>
      </c>
      <c r="C381" s="696" t="s">
        <v>336</v>
      </c>
      <c r="D381" s="693"/>
      <c r="E381" s="693"/>
      <c r="F381" s="69" t="s">
        <v>337</v>
      </c>
      <c r="G381" s="70">
        <v>90</v>
      </c>
      <c r="H381" s="580">
        <v>0</v>
      </c>
      <c r="I381" s="70">
        <f>G381*AO381</f>
        <v>0</v>
      </c>
      <c r="J381" s="70">
        <f>G381*AP381</f>
        <v>0</v>
      </c>
      <c r="K381" s="70">
        <f>G381*H381</f>
        <v>0</v>
      </c>
      <c r="L381" s="71"/>
      <c r="Z381" s="70">
        <f>IF(AQ381="5",BJ381,0)</f>
        <v>0</v>
      </c>
      <c r="AB381" s="70">
        <f>IF(AQ381="1",BH381,0)</f>
        <v>0</v>
      </c>
      <c r="AC381" s="70">
        <f>IF(AQ381="1",BI381,0)</f>
        <v>0</v>
      </c>
      <c r="AD381" s="70">
        <f>IF(AQ381="7",BH381,0)</f>
        <v>0</v>
      </c>
      <c r="AE381" s="70">
        <f>IF(AQ381="7",BI381,0)</f>
        <v>0</v>
      </c>
      <c r="AF381" s="70">
        <f>IF(AQ381="2",BH381,0)</f>
        <v>0</v>
      </c>
      <c r="AG381" s="70">
        <f>IF(AQ381="2",BI381,0)</f>
        <v>0</v>
      </c>
      <c r="AH381" s="70">
        <f>IF(AQ381="0",BJ381,0)</f>
        <v>0</v>
      </c>
      <c r="AI381" s="67" t="s">
        <v>218</v>
      </c>
      <c r="AJ381" s="70">
        <f>IF(AN381=0,K381,0)</f>
        <v>0</v>
      </c>
      <c r="AK381" s="70">
        <f>IF(AN381=15,K381,0)</f>
        <v>0</v>
      </c>
      <c r="AL381" s="70">
        <f>IF(AN381=21,K381,0)</f>
        <v>0</v>
      </c>
      <c r="AN381" s="70">
        <v>21</v>
      </c>
      <c r="AO381" s="70">
        <f>H381*0</f>
        <v>0</v>
      </c>
      <c r="AP381" s="70">
        <f>H381*(1-0)</f>
        <v>0</v>
      </c>
      <c r="AQ381" s="71" t="s">
        <v>124</v>
      </c>
      <c r="AV381" s="70">
        <f>AW381+AX381</f>
        <v>0</v>
      </c>
      <c r="AW381" s="70">
        <f>G381*AO381</f>
        <v>0</v>
      </c>
      <c r="AX381" s="70">
        <f>G381*AP381</f>
        <v>0</v>
      </c>
      <c r="AY381" s="71" t="s">
        <v>331</v>
      </c>
      <c r="AZ381" s="71" t="s">
        <v>751</v>
      </c>
      <c r="BA381" s="67" t="s">
        <v>748</v>
      </c>
      <c r="BC381" s="70">
        <f>AW381+AX381</f>
        <v>0</v>
      </c>
      <c r="BD381" s="70">
        <f>H381/(100-BE381)*100</f>
        <v>0</v>
      </c>
      <c r="BE381" s="70">
        <v>0</v>
      </c>
      <c r="BF381" s="70">
        <f>381</f>
        <v>381</v>
      </c>
      <c r="BH381" s="70">
        <f>G381*AO381</f>
        <v>0</v>
      </c>
      <c r="BI381" s="70">
        <f>G381*AP381</f>
        <v>0</v>
      </c>
      <c r="BJ381" s="70">
        <f>G381*H381</f>
        <v>0</v>
      </c>
    </row>
    <row r="382" spans="2:12" ht="38.7" customHeight="1">
      <c r="B382" s="75" t="s">
        <v>67</v>
      </c>
      <c r="C382" s="725" t="s">
        <v>754</v>
      </c>
      <c r="D382" s="726"/>
      <c r="E382" s="726"/>
      <c r="F382" s="726"/>
      <c r="G382" s="726"/>
      <c r="H382" s="726"/>
      <c r="I382" s="726"/>
      <c r="J382" s="726"/>
      <c r="K382" s="726"/>
      <c r="L382" s="726"/>
    </row>
    <row r="383" spans="1:62" ht="15">
      <c r="A383" s="69" t="s">
        <v>755</v>
      </c>
      <c r="B383" s="69" t="s">
        <v>559</v>
      </c>
      <c r="C383" s="696" t="s">
        <v>756</v>
      </c>
      <c r="D383" s="693"/>
      <c r="E383" s="693"/>
      <c r="F383" s="69" t="s">
        <v>109</v>
      </c>
      <c r="G383" s="70">
        <v>3.6</v>
      </c>
      <c r="H383" s="580">
        <v>0</v>
      </c>
      <c r="I383" s="70">
        <f>G383*AO383</f>
        <v>0</v>
      </c>
      <c r="J383" s="70">
        <f>G383*AP383</f>
        <v>0</v>
      </c>
      <c r="K383" s="70">
        <f>G383*H383</f>
        <v>0</v>
      </c>
      <c r="L383" s="71" t="s">
        <v>120</v>
      </c>
      <c r="Z383" s="70">
        <f>IF(AQ383="5",BJ383,0)</f>
        <v>0</v>
      </c>
      <c r="AB383" s="70">
        <f>IF(AQ383="1",BH383,0)</f>
        <v>0</v>
      </c>
      <c r="AC383" s="70">
        <f>IF(AQ383="1",BI383,0)</f>
        <v>0</v>
      </c>
      <c r="AD383" s="70">
        <f>IF(AQ383="7",BH383,0)</f>
        <v>0</v>
      </c>
      <c r="AE383" s="70">
        <f>IF(AQ383="7",BI383,0)</f>
        <v>0</v>
      </c>
      <c r="AF383" s="70">
        <f>IF(AQ383="2",BH383,0)</f>
        <v>0</v>
      </c>
      <c r="AG383" s="70">
        <f>IF(AQ383="2",BI383,0)</f>
        <v>0</v>
      </c>
      <c r="AH383" s="70">
        <f>IF(AQ383="0",BJ383,0)</f>
        <v>0</v>
      </c>
      <c r="AI383" s="67" t="s">
        <v>218</v>
      </c>
      <c r="AJ383" s="70">
        <f>IF(AN383=0,K383,0)</f>
        <v>0</v>
      </c>
      <c r="AK383" s="70">
        <f>IF(AN383=15,K383,0)</f>
        <v>0</v>
      </c>
      <c r="AL383" s="70">
        <f>IF(AN383=21,K383,0)</f>
        <v>0</v>
      </c>
      <c r="AN383" s="70">
        <v>21</v>
      </c>
      <c r="AO383" s="70">
        <f>H383*0.739424460431655</f>
        <v>0</v>
      </c>
      <c r="AP383" s="70">
        <f>H383*(1-0.739424460431655)</f>
        <v>0</v>
      </c>
      <c r="AQ383" s="71" t="s">
        <v>106</v>
      </c>
      <c r="AV383" s="70">
        <f>AW383+AX383</f>
        <v>0</v>
      </c>
      <c r="AW383" s="70">
        <f>G383*AO383</f>
        <v>0</v>
      </c>
      <c r="AX383" s="70">
        <f>G383*AP383</f>
        <v>0</v>
      </c>
      <c r="AY383" s="71" t="s">
        <v>331</v>
      </c>
      <c r="AZ383" s="71" t="s">
        <v>751</v>
      </c>
      <c r="BA383" s="67" t="s">
        <v>748</v>
      </c>
      <c r="BC383" s="70">
        <f>AW383+AX383</f>
        <v>0</v>
      </c>
      <c r="BD383" s="70">
        <f>H383/(100-BE383)*100</f>
        <v>0</v>
      </c>
      <c r="BE383" s="70">
        <v>0</v>
      </c>
      <c r="BF383" s="70">
        <f>383</f>
        <v>383</v>
      </c>
      <c r="BH383" s="70">
        <f>G383*AO383</f>
        <v>0</v>
      </c>
      <c r="BI383" s="70">
        <f>G383*AP383</f>
        <v>0</v>
      </c>
      <c r="BJ383" s="70">
        <f>G383*H383</f>
        <v>0</v>
      </c>
    </row>
    <row r="384" spans="1:62" ht="15">
      <c r="A384" s="69" t="s">
        <v>757</v>
      </c>
      <c r="B384" s="69" t="s">
        <v>758</v>
      </c>
      <c r="C384" s="696" t="s">
        <v>759</v>
      </c>
      <c r="D384" s="693"/>
      <c r="E384" s="693"/>
      <c r="F384" s="69" t="s">
        <v>109</v>
      </c>
      <c r="G384" s="70">
        <v>3.6</v>
      </c>
      <c r="H384" s="580">
        <v>0</v>
      </c>
      <c r="I384" s="70">
        <f>G384*AO384</f>
        <v>0</v>
      </c>
      <c r="J384" s="70">
        <f>G384*AP384</f>
        <v>0</v>
      </c>
      <c r="K384" s="70">
        <f>G384*H384</f>
        <v>0</v>
      </c>
      <c r="L384" s="71" t="s">
        <v>120</v>
      </c>
      <c r="Z384" s="70">
        <f>IF(AQ384="5",BJ384,0)</f>
        <v>0</v>
      </c>
      <c r="AB384" s="70">
        <f>IF(AQ384="1",BH384,0)</f>
        <v>0</v>
      </c>
      <c r="AC384" s="70">
        <f>IF(AQ384="1",BI384,0)</f>
        <v>0</v>
      </c>
      <c r="AD384" s="70">
        <f>IF(AQ384="7",BH384,0)</f>
        <v>0</v>
      </c>
      <c r="AE384" s="70">
        <f>IF(AQ384="7",BI384,0)</f>
        <v>0</v>
      </c>
      <c r="AF384" s="70">
        <f>IF(AQ384="2",BH384,0)</f>
        <v>0</v>
      </c>
      <c r="AG384" s="70">
        <f>IF(AQ384="2",BI384,0)</f>
        <v>0</v>
      </c>
      <c r="AH384" s="70">
        <f>IF(AQ384="0",BJ384,0)</f>
        <v>0</v>
      </c>
      <c r="AI384" s="67" t="s">
        <v>218</v>
      </c>
      <c r="AJ384" s="70">
        <f>IF(AN384=0,K384,0)</f>
        <v>0</v>
      </c>
      <c r="AK384" s="70">
        <f>IF(AN384=15,K384,0)</f>
        <v>0</v>
      </c>
      <c r="AL384" s="70">
        <f>IF(AN384=21,K384,0)</f>
        <v>0</v>
      </c>
      <c r="AN384" s="70">
        <v>21</v>
      </c>
      <c r="AO384" s="70">
        <f>H384*0.466666666666667</f>
        <v>0</v>
      </c>
      <c r="AP384" s="70">
        <f>H384*(1-0.466666666666667)</f>
        <v>0</v>
      </c>
      <c r="AQ384" s="71" t="s">
        <v>106</v>
      </c>
      <c r="AV384" s="70">
        <f>AW384+AX384</f>
        <v>0</v>
      </c>
      <c r="AW384" s="70">
        <f>G384*AO384</f>
        <v>0</v>
      </c>
      <c r="AX384" s="70">
        <f>G384*AP384</f>
        <v>0</v>
      </c>
      <c r="AY384" s="71" t="s">
        <v>331</v>
      </c>
      <c r="AZ384" s="71" t="s">
        <v>751</v>
      </c>
      <c r="BA384" s="67" t="s">
        <v>748</v>
      </c>
      <c r="BC384" s="70">
        <f>AW384+AX384</f>
        <v>0</v>
      </c>
      <c r="BD384" s="70">
        <f>H384/(100-BE384)*100</f>
        <v>0</v>
      </c>
      <c r="BE384" s="70">
        <v>0</v>
      </c>
      <c r="BF384" s="70">
        <f>384</f>
        <v>384</v>
      </c>
      <c r="BH384" s="70">
        <f>G384*AO384</f>
        <v>0</v>
      </c>
      <c r="BI384" s="70">
        <f>G384*AP384</f>
        <v>0</v>
      </c>
      <c r="BJ384" s="70">
        <f>G384*H384</f>
        <v>0</v>
      </c>
    </row>
    <row r="385" spans="1:62" ht="15">
      <c r="A385" s="69" t="s">
        <v>760</v>
      </c>
      <c r="B385" s="69" t="s">
        <v>390</v>
      </c>
      <c r="C385" s="696" t="s">
        <v>761</v>
      </c>
      <c r="D385" s="693"/>
      <c r="E385" s="693"/>
      <c r="F385" s="69" t="s">
        <v>109</v>
      </c>
      <c r="G385" s="70">
        <v>7.2</v>
      </c>
      <c r="H385" s="580">
        <v>0</v>
      </c>
      <c r="I385" s="70">
        <f>G385*AO385</f>
        <v>0</v>
      </c>
      <c r="J385" s="70">
        <f>G385*AP385</f>
        <v>0</v>
      </c>
      <c r="K385" s="70">
        <f>G385*H385</f>
        <v>0</v>
      </c>
      <c r="L385" s="71" t="s">
        <v>120</v>
      </c>
      <c r="Z385" s="70">
        <f>IF(AQ385="5",BJ385,0)</f>
        <v>0</v>
      </c>
      <c r="AB385" s="70">
        <f>IF(AQ385="1",BH385,0)</f>
        <v>0</v>
      </c>
      <c r="AC385" s="70">
        <f>IF(AQ385="1",BI385,0)</f>
        <v>0</v>
      </c>
      <c r="AD385" s="70">
        <f>IF(AQ385="7",BH385,0)</f>
        <v>0</v>
      </c>
      <c r="AE385" s="70">
        <f>IF(AQ385="7",BI385,0)</f>
        <v>0</v>
      </c>
      <c r="AF385" s="70">
        <f>IF(AQ385="2",BH385,0)</f>
        <v>0</v>
      </c>
      <c r="AG385" s="70">
        <f>IF(AQ385="2",BI385,0)</f>
        <v>0</v>
      </c>
      <c r="AH385" s="70">
        <f>IF(AQ385="0",BJ385,0)</f>
        <v>0</v>
      </c>
      <c r="AI385" s="67" t="s">
        <v>218</v>
      </c>
      <c r="AJ385" s="70">
        <f>IF(AN385=0,K385,0)</f>
        <v>0</v>
      </c>
      <c r="AK385" s="70">
        <f>IF(AN385=15,K385,0)</f>
        <v>0</v>
      </c>
      <c r="AL385" s="70">
        <f>IF(AN385=21,K385,0)</f>
        <v>0</v>
      </c>
      <c r="AN385" s="70">
        <v>21</v>
      </c>
      <c r="AO385" s="70">
        <f>H385*0.475652173913043</f>
        <v>0</v>
      </c>
      <c r="AP385" s="70">
        <f>H385*(1-0.475652173913043)</f>
        <v>0</v>
      </c>
      <c r="AQ385" s="71" t="s">
        <v>106</v>
      </c>
      <c r="AV385" s="70">
        <f>AW385+AX385</f>
        <v>0</v>
      </c>
      <c r="AW385" s="70">
        <f>G385*AO385</f>
        <v>0</v>
      </c>
      <c r="AX385" s="70">
        <f>G385*AP385</f>
        <v>0</v>
      </c>
      <c r="AY385" s="71" t="s">
        <v>331</v>
      </c>
      <c r="AZ385" s="71" t="s">
        <v>751</v>
      </c>
      <c r="BA385" s="67" t="s">
        <v>748</v>
      </c>
      <c r="BC385" s="70">
        <f>AW385+AX385</f>
        <v>0</v>
      </c>
      <c r="BD385" s="70">
        <f>H385/(100-BE385)*100</f>
        <v>0</v>
      </c>
      <c r="BE385" s="70">
        <v>0</v>
      </c>
      <c r="BF385" s="70">
        <f>385</f>
        <v>385</v>
      </c>
      <c r="BH385" s="70">
        <f>G385*AO385</f>
        <v>0</v>
      </c>
      <c r="BI385" s="70">
        <f>G385*AP385</f>
        <v>0</v>
      </c>
      <c r="BJ385" s="70">
        <f>G385*H385</f>
        <v>0</v>
      </c>
    </row>
    <row r="386" spans="1:62" ht="15">
      <c r="A386" s="69" t="s">
        <v>762</v>
      </c>
      <c r="B386" s="69" t="s">
        <v>396</v>
      </c>
      <c r="C386" s="696" t="s">
        <v>763</v>
      </c>
      <c r="D386" s="693"/>
      <c r="E386" s="693"/>
      <c r="F386" s="69" t="s">
        <v>109</v>
      </c>
      <c r="G386" s="70">
        <v>3.6</v>
      </c>
      <c r="H386" s="580">
        <v>0</v>
      </c>
      <c r="I386" s="70">
        <f>G386*AO386</f>
        <v>0</v>
      </c>
      <c r="J386" s="70">
        <f>G386*AP386</f>
        <v>0</v>
      </c>
      <c r="K386" s="70">
        <f>G386*H386</f>
        <v>0</v>
      </c>
      <c r="L386" s="71" t="s">
        <v>120</v>
      </c>
      <c r="Z386" s="70">
        <f>IF(AQ386="5",BJ386,0)</f>
        <v>0</v>
      </c>
      <c r="AB386" s="70">
        <f>IF(AQ386="1",BH386,0)</f>
        <v>0</v>
      </c>
      <c r="AC386" s="70">
        <f>IF(AQ386="1",BI386,0)</f>
        <v>0</v>
      </c>
      <c r="AD386" s="70">
        <f>IF(AQ386="7",BH386,0)</f>
        <v>0</v>
      </c>
      <c r="AE386" s="70">
        <f>IF(AQ386="7",BI386,0)</f>
        <v>0</v>
      </c>
      <c r="AF386" s="70">
        <f>IF(AQ386="2",BH386,0)</f>
        <v>0</v>
      </c>
      <c r="AG386" s="70">
        <f>IF(AQ386="2",BI386,0)</f>
        <v>0</v>
      </c>
      <c r="AH386" s="70">
        <f>IF(AQ386="0",BJ386,0)</f>
        <v>0</v>
      </c>
      <c r="AI386" s="67" t="s">
        <v>218</v>
      </c>
      <c r="AJ386" s="70">
        <f>IF(AN386=0,K386,0)</f>
        <v>0</v>
      </c>
      <c r="AK386" s="70">
        <f>IF(AN386=15,K386,0)</f>
        <v>0</v>
      </c>
      <c r="AL386" s="70">
        <f>IF(AN386=21,K386,0)</f>
        <v>0</v>
      </c>
      <c r="AN386" s="70">
        <v>21</v>
      </c>
      <c r="AO386" s="70">
        <f>H386*0.460487179487179</f>
        <v>0</v>
      </c>
      <c r="AP386" s="70">
        <f>H386*(1-0.460487179487179)</f>
        <v>0</v>
      </c>
      <c r="AQ386" s="71" t="s">
        <v>114</v>
      </c>
      <c r="AV386" s="70">
        <f>AW386+AX386</f>
        <v>0</v>
      </c>
      <c r="AW386" s="70">
        <f>G386*AO386</f>
        <v>0</v>
      </c>
      <c r="AX386" s="70">
        <f>G386*AP386</f>
        <v>0</v>
      </c>
      <c r="AY386" s="71" t="s">
        <v>331</v>
      </c>
      <c r="AZ386" s="71" t="s">
        <v>751</v>
      </c>
      <c r="BA386" s="67" t="s">
        <v>748</v>
      </c>
      <c r="BC386" s="70">
        <f>AW386+AX386</f>
        <v>0</v>
      </c>
      <c r="BD386" s="70">
        <f>H386/(100-BE386)*100</f>
        <v>0</v>
      </c>
      <c r="BE386" s="70">
        <v>0</v>
      </c>
      <c r="BF386" s="70">
        <f>386</f>
        <v>386</v>
      </c>
      <c r="BH386" s="70">
        <f>G386*AO386</f>
        <v>0</v>
      </c>
      <c r="BI386" s="70">
        <f>G386*AP386</f>
        <v>0</v>
      </c>
      <c r="BJ386" s="70">
        <f>G386*H386</f>
        <v>0</v>
      </c>
    </row>
    <row r="387" spans="2:12" ht="12.75" customHeight="1">
      <c r="B387" s="75" t="s">
        <v>67</v>
      </c>
      <c r="C387" s="725" t="s">
        <v>764</v>
      </c>
      <c r="D387" s="726"/>
      <c r="E387" s="726"/>
      <c r="F387" s="726"/>
      <c r="G387" s="726"/>
      <c r="H387" s="726"/>
      <c r="I387" s="726"/>
      <c r="J387" s="726"/>
      <c r="K387" s="726"/>
      <c r="L387" s="726"/>
    </row>
    <row r="388" spans="1:47" ht="15">
      <c r="A388" s="88"/>
      <c r="B388" s="89" t="s">
        <v>345</v>
      </c>
      <c r="C388" s="710" t="s">
        <v>346</v>
      </c>
      <c r="D388" s="711"/>
      <c r="E388" s="711"/>
      <c r="F388" s="88" t="s">
        <v>70</v>
      </c>
      <c r="G388" s="88" t="s">
        <v>70</v>
      </c>
      <c r="H388" s="88" t="s">
        <v>70</v>
      </c>
      <c r="I388" s="90">
        <f>SUM(I389:I389)</f>
        <v>0</v>
      </c>
      <c r="J388" s="90">
        <f>SUM(J389:J389)</f>
        <v>0</v>
      </c>
      <c r="K388" s="90">
        <f>SUM(K389:K389)</f>
        <v>0</v>
      </c>
      <c r="L388" s="91"/>
      <c r="AI388" s="67" t="s">
        <v>218</v>
      </c>
      <c r="AS388" s="68">
        <f>SUM(AJ389:AJ389)</f>
        <v>0</v>
      </c>
      <c r="AT388" s="68">
        <f>SUM(AK389:AK389)</f>
        <v>0</v>
      </c>
      <c r="AU388" s="68">
        <f>SUM(AL389:AL389)</f>
        <v>0</v>
      </c>
    </row>
    <row r="389" spans="1:62" ht="15">
      <c r="A389" s="69" t="s">
        <v>765</v>
      </c>
      <c r="B389" s="69" t="s">
        <v>348</v>
      </c>
      <c r="C389" s="696" t="s">
        <v>349</v>
      </c>
      <c r="D389" s="693"/>
      <c r="E389" s="693"/>
      <c r="F389" s="69" t="s">
        <v>132</v>
      </c>
      <c r="G389" s="70">
        <v>5.4</v>
      </c>
      <c r="H389" s="580">
        <v>0</v>
      </c>
      <c r="I389" s="70">
        <f>G389*AO389</f>
        <v>0</v>
      </c>
      <c r="J389" s="70">
        <f>G389*AP389</f>
        <v>0</v>
      </c>
      <c r="K389" s="70">
        <f>G389*H389</f>
        <v>0</v>
      </c>
      <c r="L389" s="71" t="s">
        <v>282</v>
      </c>
      <c r="Z389" s="70">
        <f>IF(AQ389="5",BJ389,0)</f>
        <v>0</v>
      </c>
      <c r="AB389" s="70">
        <f>IF(AQ389="1",BH389,0)</f>
        <v>0</v>
      </c>
      <c r="AC389" s="70">
        <f>IF(AQ389="1",BI389,0)</f>
        <v>0</v>
      </c>
      <c r="AD389" s="70">
        <f>IF(AQ389="7",BH389,0)</f>
        <v>0</v>
      </c>
      <c r="AE389" s="70">
        <f>IF(AQ389="7",BI389,0)</f>
        <v>0</v>
      </c>
      <c r="AF389" s="70">
        <f>IF(AQ389="2",BH389,0)</f>
        <v>0</v>
      </c>
      <c r="AG389" s="70">
        <f>IF(AQ389="2",BI389,0)</f>
        <v>0</v>
      </c>
      <c r="AH389" s="70">
        <f>IF(AQ389="0",BJ389,0)</f>
        <v>0</v>
      </c>
      <c r="AI389" s="67" t="s">
        <v>218</v>
      </c>
      <c r="AJ389" s="70">
        <f>IF(AN389=0,K389,0)</f>
        <v>0</v>
      </c>
      <c r="AK389" s="70">
        <f>IF(AN389=15,K389,0)</f>
        <v>0</v>
      </c>
      <c r="AL389" s="70">
        <f>IF(AN389=21,K389,0)</f>
        <v>0</v>
      </c>
      <c r="AN389" s="70">
        <v>21</v>
      </c>
      <c r="AO389" s="70">
        <f>H389*0</f>
        <v>0</v>
      </c>
      <c r="AP389" s="70">
        <f>H389*(1-0)</f>
        <v>0</v>
      </c>
      <c r="AQ389" s="71" t="s">
        <v>124</v>
      </c>
      <c r="AV389" s="70">
        <f>AW389+AX389</f>
        <v>0</v>
      </c>
      <c r="AW389" s="70">
        <f>G389*AO389</f>
        <v>0</v>
      </c>
      <c r="AX389" s="70">
        <f>G389*AP389</f>
        <v>0</v>
      </c>
      <c r="AY389" s="71" t="s">
        <v>350</v>
      </c>
      <c r="AZ389" s="71" t="s">
        <v>766</v>
      </c>
      <c r="BA389" s="67" t="s">
        <v>748</v>
      </c>
      <c r="BC389" s="70">
        <f>AW389+AX389</f>
        <v>0</v>
      </c>
      <c r="BD389" s="70">
        <f>H389/(100-BE389)*100</f>
        <v>0</v>
      </c>
      <c r="BE389" s="70">
        <v>0</v>
      </c>
      <c r="BF389" s="70">
        <f>389</f>
        <v>389</v>
      </c>
      <c r="BH389" s="70">
        <f>G389*AO389</f>
        <v>0</v>
      </c>
      <c r="BI389" s="70">
        <f>G389*AP389</f>
        <v>0</v>
      </c>
      <c r="BJ389" s="70">
        <f>G389*H389</f>
        <v>0</v>
      </c>
    </row>
    <row r="390" spans="1:47" ht="15">
      <c r="A390" s="88"/>
      <c r="B390" s="89"/>
      <c r="C390" s="710" t="s">
        <v>52</v>
      </c>
      <c r="D390" s="711"/>
      <c r="E390" s="711"/>
      <c r="F390" s="88" t="s">
        <v>70</v>
      </c>
      <c r="G390" s="88" t="s">
        <v>70</v>
      </c>
      <c r="H390" s="88" t="s">
        <v>70</v>
      </c>
      <c r="I390" s="90">
        <f>SUM(I391:I397)</f>
        <v>0</v>
      </c>
      <c r="J390" s="90">
        <f>SUM(J391:J397)</f>
        <v>0</v>
      </c>
      <c r="K390" s="90">
        <f>SUM(K391:K397)</f>
        <v>0</v>
      </c>
      <c r="L390" s="91"/>
      <c r="AI390" s="67" t="s">
        <v>218</v>
      </c>
      <c r="AS390" s="68">
        <f>SUM(AJ391:AJ397)</f>
        <v>0</v>
      </c>
      <c r="AT390" s="68">
        <f>SUM(AK391:AK397)</f>
        <v>0</v>
      </c>
      <c r="AU390" s="68">
        <f>SUM(AL391:AL397)</f>
        <v>0</v>
      </c>
    </row>
    <row r="391" spans="1:62" ht="15">
      <c r="A391" s="69" t="s">
        <v>767</v>
      </c>
      <c r="B391" s="69" t="s">
        <v>353</v>
      </c>
      <c r="C391" s="696" t="s">
        <v>768</v>
      </c>
      <c r="D391" s="693"/>
      <c r="E391" s="693"/>
      <c r="F391" s="69" t="s">
        <v>132</v>
      </c>
      <c r="G391" s="70">
        <v>0.3</v>
      </c>
      <c r="H391" s="580">
        <v>0</v>
      </c>
      <c r="I391" s="70">
        <f>G391*AO391</f>
        <v>0</v>
      </c>
      <c r="J391" s="70">
        <f>G391*AP391</f>
        <v>0</v>
      </c>
      <c r="K391" s="70">
        <f>G391*H391</f>
        <v>0</v>
      </c>
      <c r="L391" s="71" t="s">
        <v>282</v>
      </c>
      <c r="Z391" s="70">
        <f>IF(AQ391="5",BJ391,0)</f>
        <v>0</v>
      </c>
      <c r="AB391" s="70">
        <f>IF(AQ391="1",BH391,0)</f>
        <v>0</v>
      </c>
      <c r="AC391" s="70">
        <f>IF(AQ391="1",BI391,0)</f>
        <v>0</v>
      </c>
      <c r="AD391" s="70">
        <f>IF(AQ391="7",BH391,0)</f>
        <v>0</v>
      </c>
      <c r="AE391" s="70">
        <f>IF(AQ391="7",BI391,0)</f>
        <v>0</v>
      </c>
      <c r="AF391" s="70">
        <f>IF(AQ391="2",BH391,0)</f>
        <v>0</v>
      </c>
      <c r="AG391" s="70">
        <f>IF(AQ391="2",BI391,0)</f>
        <v>0</v>
      </c>
      <c r="AH391" s="70">
        <f>IF(AQ391="0",BJ391,0)</f>
        <v>0</v>
      </c>
      <c r="AI391" s="67" t="s">
        <v>218</v>
      </c>
      <c r="AJ391" s="70">
        <f>IF(AN391=0,K391,0)</f>
        <v>0</v>
      </c>
      <c r="AK391" s="70">
        <f>IF(AN391=15,K391,0)</f>
        <v>0</v>
      </c>
      <c r="AL391" s="70">
        <f>IF(AN391=21,K391,0)</f>
        <v>0</v>
      </c>
      <c r="AN391" s="70">
        <v>21</v>
      </c>
      <c r="AO391" s="70">
        <f>H391*1</f>
        <v>0</v>
      </c>
      <c r="AP391" s="70">
        <f>H391*(1-1)</f>
        <v>0</v>
      </c>
      <c r="AQ391" s="71" t="s">
        <v>355</v>
      </c>
      <c r="AV391" s="70">
        <f>AW391+AX391</f>
        <v>0</v>
      </c>
      <c r="AW391" s="70">
        <f>G391*AO391</f>
        <v>0</v>
      </c>
      <c r="AX391" s="70">
        <f>G391*AP391</f>
        <v>0</v>
      </c>
      <c r="AY391" s="71" t="s">
        <v>356</v>
      </c>
      <c r="AZ391" s="71" t="s">
        <v>769</v>
      </c>
      <c r="BA391" s="67" t="s">
        <v>748</v>
      </c>
      <c r="BC391" s="70">
        <f>AW391+AX391</f>
        <v>0</v>
      </c>
      <c r="BD391" s="70">
        <f>H391/(100-BE391)*100</f>
        <v>0</v>
      </c>
      <c r="BE391" s="70">
        <v>0</v>
      </c>
      <c r="BF391" s="70">
        <f>391</f>
        <v>391</v>
      </c>
      <c r="BH391" s="70">
        <f>G391*AO391</f>
        <v>0</v>
      </c>
      <c r="BI391" s="70">
        <f>G391*AP391</f>
        <v>0</v>
      </c>
      <c r="BJ391" s="70">
        <f>G391*H391</f>
        <v>0</v>
      </c>
    </row>
    <row r="392" spans="2:12" ht="12.75" customHeight="1">
      <c r="B392" s="75" t="s">
        <v>67</v>
      </c>
      <c r="C392" s="725" t="s">
        <v>358</v>
      </c>
      <c r="D392" s="726"/>
      <c r="E392" s="726"/>
      <c r="F392" s="726"/>
      <c r="G392" s="726"/>
      <c r="H392" s="726"/>
      <c r="I392" s="726"/>
      <c r="J392" s="726"/>
      <c r="K392" s="726"/>
      <c r="L392" s="726"/>
    </row>
    <row r="393" spans="1:62" ht="15">
      <c r="A393" s="69" t="s">
        <v>770</v>
      </c>
      <c r="B393" s="69" t="s">
        <v>363</v>
      </c>
      <c r="C393" s="696" t="s">
        <v>771</v>
      </c>
      <c r="D393" s="693"/>
      <c r="E393" s="693"/>
      <c r="F393" s="69" t="s">
        <v>132</v>
      </c>
      <c r="G393" s="70">
        <v>0.7</v>
      </c>
      <c r="H393" s="580">
        <v>0</v>
      </c>
      <c r="I393" s="70">
        <f>G393*AO393</f>
        <v>0</v>
      </c>
      <c r="J393" s="70">
        <f>G393*AP393</f>
        <v>0</v>
      </c>
      <c r="K393" s="70">
        <f>G393*H393</f>
        <v>0</v>
      </c>
      <c r="L393" s="71" t="s">
        <v>120</v>
      </c>
      <c r="Z393" s="70">
        <f>IF(AQ393="5",BJ393,0)</f>
        <v>0</v>
      </c>
      <c r="AB393" s="70">
        <f>IF(AQ393="1",BH393,0)</f>
        <v>0</v>
      </c>
      <c r="AC393" s="70">
        <f>IF(AQ393="1",BI393,0)</f>
        <v>0</v>
      </c>
      <c r="AD393" s="70">
        <f>IF(AQ393="7",BH393,0)</f>
        <v>0</v>
      </c>
      <c r="AE393" s="70">
        <f>IF(AQ393="7",BI393,0)</f>
        <v>0</v>
      </c>
      <c r="AF393" s="70">
        <f>IF(AQ393="2",BH393,0)</f>
        <v>0</v>
      </c>
      <c r="AG393" s="70">
        <f>IF(AQ393="2",BI393,0)</f>
        <v>0</v>
      </c>
      <c r="AH393" s="70">
        <f>IF(AQ393="0",BJ393,0)</f>
        <v>0</v>
      </c>
      <c r="AI393" s="67" t="s">
        <v>218</v>
      </c>
      <c r="AJ393" s="70">
        <f>IF(AN393=0,K393,0)</f>
        <v>0</v>
      </c>
      <c r="AK393" s="70">
        <f>IF(AN393=15,K393,0)</f>
        <v>0</v>
      </c>
      <c r="AL393" s="70">
        <f>IF(AN393=21,K393,0)</f>
        <v>0</v>
      </c>
      <c r="AN393" s="70">
        <v>21</v>
      </c>
      <c r="AO393" s="70">
        <f>H393*1</f>
        <v>0</v>
      </c>
      <c r="AP393" s="70">
        <f>H393*(1-1)</f>
        <v>0</v>
      </c>
      <c r="AQ393" s="71" t="s">
        <v>355</v>
      </c>
      <c r="AV393" s="70">
        <f>AW393+AX393</f>
        <v>0</v>
      </c>
      <c r="AW393" s="70">
        <f>G393*AO393</f>
        <v>0</v>
      </c>
      <c r="AX393" s="70">
        <f>G393*AP393</f>
        <v>0</v>
      </c>
      <c r="AY393" s="71" t="s">
        <v>356</v>
      </c>
      <c r="AZ393" s="71" t="s">
        <v>769</v>
      </c>
      <c r="BA393" s="67" t="s">
        <v>748</v>
      </c>
      <c r="BC393" s="70">
        <f>AW393+AX393</f>
        <v>0</v>
      </c>
      <c r="BD393" s="70">
        <f>H393/(100-BE393)*100</f>
        <v>0</v>
      </c>
      <c r="BE393" s="70">
        <v>0</v>
      </c>
      <c r="BF393" s="70">
        <f>393</f>
        <v>393</v>
      </c>
      <c r="BH393" s="70">
        <f>G393*AO393</f>
        <v>0</v>
      </c>
      <c r="BI393" s="70">
        <f>G393*AP393</f>
        <v>0</v>
      </c>
      <c r="BJ393" s="70">
        <f>G393*H393</f>
        <v>0</v>
      </c>
    </row>
    <row r="394" spans="2:12" ht="12.75" customHeight="1">
      <c r="B394" s="75" t="s">
        <v>67</v>
      </c>
      <c r="C394" s="725" t="s">
        <v>358</v>
      </c>
      <c r="D394" s="726"/>
      <c r="E394" s="726"/>
      <c r="F394" s="726"/>
      <c r="G394" s="726"/>
      <c r="H394" s="726"/>
      <c r="I394" s="726"/>
      <c r="J394" s="726"/>
      <c r="K394" s="726"/>
      <c r="L394" s="726"/>
    </row>
    <row r="395" spans="1:62" ht="15">
      <c r="A395" s="69" t="s">
        <v>772</v>
      </c>
      <c r="B395" s="69" t="s">
        <v>405</v>
      </c>
      <c r="C395" s="696" t="s">
        <v>568</v>
      </c>
      <c r="D395" s="693"/>
      <c r="E395" s="693"/>
      <c r="F395" s="69" t="s">
        <v>407</v>
      </c>
      <c r="G395" s="70">
        <v>18</v>
      </c>
      <c r="H395" s="580">
        <v>0</v>
      </c>
      <c r="I395" s="70">
        <f>G395*AO395</f>
        <v>0</v>
      </c>
      <c r="J395" s="70">
        <f>G395*AP395</f>
        <v>0</v>
      </c>
      <c r="K395" s="70">
        <f>G395*H395</f>
        <v>0</v>
      </c>
      <c r="L395" s="71"/>
      <c r="Z395" s="70">
        <f>IF(AQ395="5",BJ395,0)</f>
        <v>0</v>
      </c>
      <c r="AB395" s="70">
        <f>IF(AQ395="1",BH395,0)</f>
        <v>0</v>
      </c>
      <c r="AC395" s="70">
        <f>IF(AQ395="1",BI395,0)</f>
        <v>0</v>
      </c>
      <c r="AD395" s="70">
        <f>IF(AQ395="7",BH395,0)</f>
        <v>0</v>
      </c>
      <c r="AE395" s="70">
        <f>IF(AQ395="7",BI395,0)</f>
        <v>0</v>
      </c>
      <c r="AF395" s="70">
        <f>IF(AQ395="2",BH395,0)</f>
        <v>0</v>
      </c>
      <c r="AG395" s="70">
        <f>IF(AQ395="2",BI395,0)</f>
        <v>0</v>
      </c>
      <c r="AH395" s="70">
        <f>IF(AQ395="0",BJ395,0)</f>
        <v>0</v>
      </c>
      <c r="AI395" s="67" t="s">
        <v>218</v>
      </c>
      <c r="AJ395" s="70">
        <f>IF(AN395=0,K395,0)</f>
        <v>0</v>
      </c>
      <c r="AK395" s="70">
        <f>IF(AN395=15,K395,0)</f>
        <v>0</v>
      </c>
      <c r="AL395" s="70">
        <f>IF(AN395=21,K395,0)</f>
        <v>0</v>
      </c>
      <c r="AN395" s="70">
        <v>21</v>
      </c>
      <c r="AO395" s="70">
        <f>H395*1</f>
        <v>0</v>
      </c>
      <c r="AP395" s="70">
        <f>H395*(1-1)</f>
        <v>0</v>
      </c>
      <c r="AQ395" s="71" t="s">
        <v>355</v>
      </c>
      <c r="AV395" s="70">
        <f>AW395+AX395</f>
        <v>0</v>
      </c>
      <c r="AW395" s="70">
        <f>G395*AO395</f>
        <v>0</v>
      </c>
      <c r="AX395" s="70">
        <f>G395*AP395</f>
        <v>0</v>
      </c>
      <c r="AY395" s="71" t="s">
        <v>356</v>
      </c>
      <c r="AZ395" s="71" t="s">
        <v>769</v>
      </c>
      <c r="BA395" s="67" t="s">
        <v>748</v>
      </c>
      <c r="BC395" s="70">
        <f>AW395+AX395</f>
        <v>0</v>
      </c>
      <c r="BD395" s="70">
        <f>H395/(100-BE395)*100</f>
        <v>0</v>
      </c>
      <c r="BE395" s="70">
        <v>0</v>
      </c>
      <c r="BF395" s="70">
        <f>395</f>
        <v>395</v>
      </c>
      <c r="BH395" s="70">
        <f>G395*AO395</f>
        <v>0</v>
      </c>
      <c r="BI395" s="70">
        <f>G395*AP395</f>
        <v>0</v>
      </c>
      <c r="BJ395" s="70">
        <f>G395*H395</f>
        <v>0</v>
      </c>
    </row>
    <row r="396" spans="2:12" ht="12.75" customHeight="1">
      <c r="B396" s="75" t="s">
        <v>67</v>
      </c>
      <c r="C396" s="725" t="s">
        <v>570</v>
      </c>
      <c r="D396" s="726"/>
      <c r="E396" s="726"/>
      <c r="F396" s="726"/>
      <c r="G396" s="726"/>
      <c r="H396" s="726"/>
      <c r="I396" s="726"/>
      <c r="J396" s="726"/>
      <c r="K396" s="726"/>
      <c r="L396" s="726"/>
    </row>
    <row r="397" spans="1:62" ht="15">
      <c r="A397" s="69" t="s">
        <v>773</v>
      </c>
      <c r="B397" s="69" t="s">
        <v>370</v>
      </c>
      <c r="C397" s="696" t="s">
        <v>774</v>
      </c>
      <c r="D397" s="693"/>
      <c r="E397" s="693"/>
      <c r="F397" s="69" t="s">
        <v>109</v>
      </c>
      <c r="G397" s="70">
        <v>3.8</v>
      </c>
      <c r="H397" s="580">
        <v>0</v>
      </c>
      <c r="I397" s="70">
        <f>G397*AO397</f>
        <v>0</v>
      </c>
      <c r="J397" s="70">
        <f>G397*AP397</f>
        <v>0</v>
      </c>
      <c r="K397" s="70">
        <f>G397*H397</f>
        <v>0</v>
      </c>
      <c r="L397" s="71" t="s">
        <v>120</v>
      </c>
      <c r="Z397" s="70">
        <f>IF(AQ397="5",BJ397,0)</f>
        <v>0</v>
      </c>
      <c r="AB397" s="70">
        <f>IF(AQ397="1",BH397,0)</f>
        <v>0</v>
      </c>
      <c r="AC397" s="70">
        <f>IF(AQ397="1",BI397,0)</f>
        <v>0</v>
      </c>
      <c r="AD397" s="70">
        <f>IF(AQ397="7",BH397,0)</f>
        <v>0</v>
      </c>
      <c r="AE397" s="70">
        <f>IF(AQ397="7",BI397,0)</f>
        <v>0</v>
      </c>
      <c r="AF397" s="70">
        <f>IF(AQ397="2",BH397,0)</f>
        <v>0</v>
      </c>
      <c r="AG397" s="70">
        <f>IF(AQ397="2",BI397,0)</f>
        <v>0</v>
      </c>
      <c r="AH397" s="70">
        <f>IF(AQ397="0",BJ397,0)</f>
        <v>0</v>
      </c>
      <c r="AI397" s="67" t="s">
        <v>218</v>
      </c>
      <c r="AJ397" s="70">
        <f>IF(AN397=0,K397,0)</f>
        <v>0</v>
      </c>
      <c r="AK397" s="70">
        <f>IF(AN397=15,K397,0)</f>
        <v>0</v>
      </c>
      <c r="AL397" s="70">
        <f>IF(AN397=21,K397,0)</f>
        <v>0</v>
      </c>
      <c r="AN397" s="70">
        <v>21</v>
      </c>
      <c r="AO397" s="70">
        <f>H397*1</f>
        <v>0</v>
      </c>
      <c r="AP397" s="70">
        <f>H397*(1-1)</f>
        <v>0</v>
      </c>
      <c r="AQ397" s="71" t="s">
        <v>355</v>
      </c>
      <c r="AV397" s="70">
        <f>AW397+AX397</f>
        <v>0</v>
      </c>
      <c r="AW397" s="70">
        <f>G397*AO397</f>
        <v>0</v>
      </c>
      <c r="AX397" s="70">
        <f>G397*AP397</f>
        <v>0</v>
      </c>
      <c r="AY397" s="71" t="s">
        <v>356</v>
      </c>
      <c r="AZ397" s="71" t="s">
        <v>769</v>
      </c>
      <c r="BA397" s="67" t="s">
        <v>748</v>
      </c>
      <c r="BC397" s="70">
        <f>AW397+AX397</f>
        <v>0</v>
      </c>
      <c r="BD397" s="70">
        <f>H397/(100-BE397)*100</f>
        <v>0</v>
      </c>
      <c r="BE397" s="70">
        <v>0</v>
      </c>
      <c r="BF397" s="70">
        <f>397</f>
        <v>397</v>
      </c>
      <c r="BH397" s="70">
        <f>G397*AO397</f>
        <v>0</v>
      </c>
      <c r="BI397" s="70">
        <f>G397*AP397</f>
        <v>0</v>
      </c>
      <c r="BJ397" s="70">
        <f>G397*H397</f>
        <v>0</v>
      </c>
    </row>
    <row r="398" spans="2:12" ht="25.35" customHeight="1">
      <c r="B398" s="75" t="s">
        <v>67</v>
      </c>
      <c r="C398" s="725" t="s">
        <v>775</v>
      </c>
      <c r="D398" s="726"/>
      <c r="E398" s="726"/>
      <c r="F398" s="726"/>
      <c r="G398" s="726"/>
      <c r="H398" s="726"/>
      <c r="I398" s="726"/>
      <c r="J398" s="726"/>
      <c r="K398" s="726"/>
      <c r="L398" s="726"/>
    </row>
    <row r="399" spans="1:12" ht="15">
      <c r="A399" s="48"/>
      <c r="B399" s="49"/>
      <c r="C399" s="727" t="s">
        <v>776</v>
      </c>
      <c r="D399" s="728"/>
      <c r="E399" s="728"/>
      <c r="F399" s="48" t="s">
        <v>70</v>
      </c>
      <c r="G399" s="48" t="s">
        <v>70</v>
      </c>
      <c r="H399" s="48" t="s">
        <v>70</v>
      </c>
      <c r="I399" s="50">
        <f>I400+I403+I406</f>
        <v>0</v>
      </c>
      <c r="J399" s="50">
        <f>J400+J403+J406</f>
        <v>0</v>
      </c>
      <c r="K399" s="50">
        <f>K400+K403+K406</f>
        <v>0</v>
      </c>
      <c r="L399" s="51"/>
    </row>
    <row r="400" spans="1:47" ht="15">
      <c r="A400" s="88"/>
      <c r="B400" s="89" t="s">
        <v>169</v>
      </c>
      <c r="C400" s="710" t="s">
        <v>278</v>
      </c>
      <c r="D400" s="711"/>
      <c r="E400" s="711"/>
      <c r="F400" s="88" t="s">
        <v>70</v>
      </c>
      <c r="G400" s="88" t="s">
        <v>70</v>
      </c>
      <c r="H400" s="88" t="s">
        <v>70</v>
      </c>
      <c r="I400" s="90">
        <f>SUM(I401:I401)</f>
        <v>0</v>
      </c>
      <c r="J400" s="90">
        <f>SUM(J401:J401)</f>
        <v>0</v>
      </c>
      <c r="K400" s="90">
        <f>SUM(K401:K401)</f>
        <v>0</v>
      </c>
      <c r="L400" s="91"/>
      <c r="AI400" s="67" t="s">
        <v>221</v>
      </c>
      <c r="AS400" s="68">
        <f>SUM(AJ401:AJ401)</f>
        <v>0</v>
      </c>
      <c r="AT400" s="68">
        <f>SUM(AK401:AK401)</f>
        <v>0</v>
      </c>
      <c r="AU400" s="68">
        <f>SUM(AL401:AL401)</f>
        <v>0</v>
      </c>
    </row>
    <row r="401" spans="1:62" ht="15">
      <c r="A401" s="69" t="s">
        <v>777</v>
      </c>
      <c r="B401" s="69" t="s">
        <v>318</v>
      </c>
      <c r="C401" s="696" t="s">
        <v>319</v>
      </c>
      <c r="D401" s="693"/>
      <c r="E401" s="693"/>
      <c r="F401" s="69" t="s">
        <v>109</v>
      </c>
      <c r="G401" s="70">
        <v>0.5</v>
      </c>
      <c r="H401" s="580">
        <v>0</v>
      </c>
      <c r="I401" s="70">
        <f>G401*AO401</f>
        <v>0</v>
      </c>
      <c r="J401" s="70">
        <f>G401*AP401</f>
        <v>0</v>
      </c>
      <c r="K401" s="70">
        <f>G401*H401</f>
        <v>0</v>
      </c>
      <c r="L401" s="71" t="s">
        <v>282</v>
      </c>
      <c r="Z401" s="70">
        <f>IF(AQ401="5",BJ401,0)</f>
        <v>0</v>
      </c>
      <c r="AB401" s="70">
        <f>IF(AQ401="1",BH401,0)</f>
        <v>0</v>
      </c>
      <c r="AC401" s="70">
        <f>IF(AQ401="1",BI401,0)</f>
        <v>0</v>
      </c>
      <c r="AD401" s="70">
        <f>IF(AQ401="7",BH401,0)</f>
        <v>0</v>
      </c>
      <c r="AE401" s="70">
        <f>IF(AQ401="7",BI401,0)</f>
        <v>0</v>
      </c>
      <c r="AF401" s="70">
        <f>IF(AQ401="2",BH401,0)</f>
        <v>0</v>
      </c>
      <c r="AG401" s="70">
        <f>IF(AQ401="2",BI401,0)</f>
        <v>0</v>
      </c>
      <c r="AH401" s="70">
        <f>IF(AQ401="0",BJ401,0)</f>
        <v>0</v>
      </c>
      <c r="AI401" s="67" t="s">
        <v>221</v>
      </c>
      <c r="AJ401" s="70">
        <f>IF(AN401=0,K401,0)</f>
        <v>0</v>
      </c>
      <c r="AK401" s="70">
        <f>IF(AN401=15,K401,0)</f>
        <v>0</v>
      </c>
      <c r="AL401" s="70">
        <f>IF(AN401=21,K401,0)</f>
        <v>0</v>
      </c>
      <c r="AN401" s="70">
        <v>21</v>
      </c>
      <c r="AO401" s="70">
        <f>H401*0</f>
        <v>0</v>
      </c>
      <c r="AP401" s="70">
        <f>H401*(1-0)</f>
        <v>0</v>
      </c>
      <c r="AQ401" s="71" t="s">
        <v>106</v>
      </c>
      <c r="AV401" s="70">
        <f>AW401+AX401</f>
        <v>0</v>
      </c>
      <c r="AW401" s="70">
        <f>G401*AO401</f>
        <v>0</v>
      </c>
      <c r="AX401" s="70">
        <f>G401*AP401</f>
        <v>0</v>
      </c>
      <c r="AY401" s="71" t="s">
        <v>283</v>
      </c>
      <c r="AZ401" s="71" t="s">
        <v>778</v>
      </c>
      <c r="BA401" s="67" t="s">
        <v>509</v>
      </c>
      <c r="BC401" s="70">
        <f>AW401+AX401</f>
        <v>0</v>
      </c>
      <c r="BD401" s="70">
        <f>H401/(100-BE401)*100</f>
        <v>0</v>
      </c>
      <c r="BE401" s="70">
        <v>0</v>
      </c>
      <c r="BF401" s="70">
        <f>401</f>
        <v>401</v>
      </c>
      <c r="BH401" s="70">
        <f>G401*AO401</f>
        <v>0</v>
      </c>
      <c r="BI401" s="70">
        <f>G401*AP401</f>
        <v>0</v>
      </c>
      <c r="BJ401" s="70">
        <f>G401*H401</f>
        <v>0</v>
      </c>
    </row>
    <row r="402" spans="2:12" ht="12.75" customHeight="1">
      <c r="B402" s="75" t="s">
        <v>67</v>
      </c>
      <c r="C402" s="725" t="s">
        <v>749</v>
      </c>
      <c r="D402" s="726"/>
      <c r="E402" s="726"/>
      <c r="F402" s="726"/>
      <c r="G402" s="726"/>
      <c r="H402" s="726"/>
      <c r="I402" s="726"/>
      <c r="J402" s="726"/>
      <c r="K402" s="726"/>
      <c r="L402" s="726"/>
    </row>
    <row r="403" spans="1:47" ht="15">
      <c r="A403" s="88"/>
      <c r="B403" s="89" t="s">
        <v>321</v>
      </c>
      <c r="C403" s="710" t="s">
        <v>605</v>
      </c>
      <c r="D403" s="711"/>
      <c r="E403" s="711"/>
      <c r="F403" s="88" t="s">
        <v>70</v>
      </c>
      <c r="G403" s="88" t="s">
        <v>70</v>
      </c>
      <c r="H403" s="88" t="s">
        <v>70</v>
      </c>
      <c r="I403" s="90">
        <f>SUM(I404:I405)</f>
        <v>0</v>
      </c>
      <c r="J403" s="90">
        <f>SUM(J404:J405)</f>
        <v>0</v>
      </c>
      <c r="K403" s="90">
        <f>SUM(K404:K405)</f>
        <v>0</v>
      </c>
      <c r="L403" s="91"/>
      <c r="AI403" s="67" t="s">
        <v>221</v>
      </c>
      <c r="AS403" s="68">
        <f>SUM(AJ404:AJ405)</f>
        <v>0</v>
      </c>
      <c r="AT403" s="68">
        <f>SUM(AK404:AK405)</f>
        <v>0</v>
      </c>
      <c r="AU403" s="68">
        <f>SUM(AL404:AL405)</f>
        <v>0</v>
      </c>
    </row>
    <row r="404" spans="1:62" ht="15">
      <c r="A404" s="69" t="s">
        <v>779</v>
      </c>
      <c r="B404" s="69" t="s">
        <v>780</v>
      </c>
      <c r="C404" s="696" t="s">
        <v>781</v>
      </c>
      <c r="D404" s="693"/>
      <c r="E404" s="693"/>
      <c r="F404" s="69" t="s">
        <v>209</v>
      </c>
      <c r="G404" s="70">
        <v>2.4</v>
      </c>
      <c r="H404" s="580">
        <v>0</v>
      </c>
      <c r="I404" s="70">
        <f>G404*AO404</f>
        <v>0</v>
      </c>
      <c r="J404" s="70">
        <f>G404*AP404</f>
        <v>0</v>
      </c>
      <c r="K404" s="70">
        <f>G404*H404</f>
        <v>0</v>
      </c>
      <c r="L404" s="71" t="s">
        <v>120</v>
      </c>
      <c r="Z404" s="70">
        <f>IF(AQ404="5",BJ404,0)</f>
        <v>0</v>
      </c>
      <c r="AB404" s="70">
        <f>IF(AQ404="1",BH404,0)</f>
        <v>0</v>
      </c>
      <c r="AC404" s="70">
        <f>IF(AQ404="1",BI404,0)</f>
        <v>0</v>
      </c>
      <c r="AD404" s="70">
        <f>IF(AQ404="7",BH404,0)</f>
        <v>0</v>
      </c>
      <c r="AE404" s="70">
        <f>IF(AQ404="7",BI404,0)</f>
        <v>0</v>
      </c>
      <c r="AF404" s="70">
        <f>IF(AQ404="2",BH404,0)</f>
        <v>0</v>
      </c>
      <c r="AG404" s="70">
        <f>IF(AQ404="2",BI404,0)</f>
        <v>0</v>
      </c>
      <c r="AH404" s="70">
        <f>IF(AQ404="0",BJ404,0)</f>
        <v>0</v>
      </c>
      <c r="AI404" s="67" t="s">
        <v>221</v>
      </c>
      <c r="AJ404" s="70">
        <f>IF(AN404=0,K404,0)</f>
        <v>0</v>
      </c>
      <c r="AK404" s="70">
        <f>IF(AN404=15,K404,0)</f>
        <v>0</v>
      </c>
      <c r="AL404" s="70">
        <f>IF(AN404=21,K404,0)</f>
        <v>0</v>
      </c>
      <c r="AN404" s="70">
        <v>21</v>
      </c>
      <c r="AO404" s="70">
        <f>H404*0.479419475655431</f>
        <v>0</v>
      </c>
      <c r="AP404" s="70">
        <f>H404*(1-0.479419475655431)</f>
        <v>0</v>
      </c>
      <c r="AQ404" s="71" t="s">
        <v>106</v>
      </c>
      <c r="AV404" s="70">
        <f>AW404+AX404</f>
        <v>0</v>
      </c>
      <c r="AW404" s="70">
        <f>G404*AO404</f>
        <v>0</v>
      </c>
      <c r="AX404" s="70">
        <f>G404*AP404</f>
        <v>0</v>
      </c>
      <c r="AY404" s="71" t="s">
        <v>607</v>
      </c>
      <c r="AZ404" s="71" t="s">
        <v>782</v>
      </c>
      <c r="BA404" s="67" t="s">
        <v>509</v>
      </c>
      <c r="BC404" s="70">
        <f>AW404+AX404</f>
        <v>0</v>
      </c>
      <c r="BD404" s="70">
        <f>H404/(100-BE404)*100</f>
        <v>0</v>
      </c>
      <c r="BE404" s="70">
        <v>0</v>
      </c>
      <c r="BF404" s="70">
        <f>404</f>
        <v>404</v>
      </c>
      <c r="BH404" s="70">
        <f>G404*AO404</f>
        <v>0</v>
      </c>
      <c r="BI404" s="70">
        <f>G404*AP404</f>
        <v>0</v>
      </c>
      <c r="BJ404" s="70">
        <f>G404*H404</f>
        <v>0</v>
      </c>
    </row>
    <row r="405" spans="1:62" ht="15">
      <c r="A405" s="69" t="s">
        <v>783</v>
      </c>
      <c r="B405" s="69" t="s">
        <v>784</v>
      </c>
      <c r="C405" s="696" t="s">
        <v>785</v>
      </c>
      <c r="D405" s="693"/>
      <c r="E405" s="693"/>
      <c r="F405" s="69" t="s">
        <v>209</v>
      </c>
      <c r="G405" s="70">
        <v>2.4</v>
      </c>
      <c r="H405" s="580">
        <v>0</v>
      </c>
      <c r="I405" s="70">
        <f>G405*AO405</f>
        <v>0</v>
      </c>
      <c r="J405" s="70">
        <f>G405*AP405</f>
        <v>0</v>
      </c>
      <c r="K405" s="70">
        <f>G405*H405</f>
        <v>0</v>
      </c>
      <c r="L405" s="71" t="s">
        <v>120</v>
      </c>
      <c r="Z405" s="70">
        <f>IF(AQ405="5",BJ405,0)</f>
        <v>0</v>
      </c>
      <c r="AB405" s="70">
        <f>IF(AQ405="1",BH405,0)</f>
        <v>0</v>
      </c>
      <c r="AC405" s="70">
        <f>IF(AQ405="1",BI405,0)</f>
        <v>0</v>
      </c>
      <c r="AD405" s="70">
        <f>IF(AQ405="7",BH405,0)</f>
        <v>0</v>
      </c>
      <c r="AE405" s="70">
        <f>IF(AQ405="7",BI405,0)</f>
        <v>0</v>
      </c>
      <c r="AF405" s="70">
        <f>IF(AQ405="2",BH405,0)</f>
        <v>0</v>
      </c>
      <c r="AG405" s="70">
        <f>IF(AQ405="2",BI405,0)</f>
        <v>0</v>
      </c>
      <c r="AH405" s="70">
        <f>IF(AQ405="0",BJ405,0)</f>
        <v>0</v>
      </c>
      <c r="AI405" s="67" t="s">
        <v>221</v>
      </c>
      <c r="AJ405" s="70">
        <f>IF(AN405=0,K405,0)</f>
        <v>0</v>
      </c>
      <c r="AK405" s="70">
        <f>IF(AN405=15,K405,0)</f>
        <v>0</v>
      </c>
      <c r="AL405" s="70">
        <f>IF(AN405=21,K405,0)</f>
        <v>0</v>
      </c>
      <c r="AN405" s="70">
        <v>21</v>
      </c>
      <c r="AO405" s="70">
        <f>H405*0.920852631578947</f>
        <v>0</v>
      </c>
      <c r="AP405" s="70">
        <f>H405*(1-0.920852631578947)</f>
        <v>0</v>
      </c>
      <c r="AQ405" s="71" t="s">
        <v>106</v>
      </c>
      <c r="AV405" s="70">
        <f>AW405+AX405</f>
        <v>0</v>
      </c>
      <c r="AW405" s="70">
        <f>G405*AO405</f>
        <v>0</v>
      </c>
      <c r="AX405" s="70">
        <f>G405*AP405</f>
        <v>0</v>
      </c>
      <c r="AY405" s="71" t="s">
        <v>607</v>
      </c>
      <c r="AZ405" s="71" t="s">
        <v>782</v>
      </c>
      <c r="BA405" s="67" t="s">
        <v>509</v>
      </c>
      <c r="BC405" s="70">
        <f>AW405+AX405</f>
        <v>0</v>
      </c>
      <c r="BD405" s="70">
        <f>H405/(100-BE405)*100</f>
        <v>0</v>
      </c>
      <c r="BE405" s="70">
        <v>0</v>
      </c>
      <c r="BF405" s="70">
        <f>405</f>
        <v>405</v>
      </c>
      <c r="BH405" s="70">
        <f>G405*AO405</f>
        <v>0</v>
      </c>
      <c r="BI405" s="70">
        <f>G405*AP405</f>
        <v>0</v>
      </c>
      <c r="BJ405" s="70">
        <f>G405*H405</f>
        <v>0</v>
      </c>
    </row>
    <row r="406" spans="1:47" ht="15">
      <c r="A406" s="88"/>
      <c r="B406" s="89" t="s">
        <v>736</v>
      </c>
      <c r="C406" s="710" t="s">
        <v>737</v>
      </c>
      <c r="D406" s="711"/>
      <c r="E406" s="711"/>
      <c r="F406" s="88" t="s">
        <v>70</v>
      </c>
      <c r="G406" s="88" t="s">
        <v>70</v>
      </c>
      <c r="H406" s="88" t="s">
        <v>70</v>
      </c>
      <c r="I406" s="90">
        <f>SUM(I407:I407)</f>
        <v>0</v>
      </c>
      <c r="J406" s="90">
        <f>SUM(J407:J407)</f>
        <v>0</v>
      </c>
      <c r="K406" s="90">
        <f>SUM(K407:K407)</f>
        <v>0</v>
      </c>
      <c r="L406" s="91"/>
      <c r="AI406" s="67" t="s">
        <v>221</v>
      </c>
      <c r="AS406" s="68">
        <f>SUM(AJ407:AJ407)</f>
        <v>0</v>
      </c>
      <c r="AT406" s="68">
        <f>SUM(AK407:AK407)</f>
        <v>0</v>
      </c>
      <c r="AU406" s="68">
        <f>SUM(AL407:AL407)</f>
        <v>0</v>
      </c>
    </row>
    <row r="407" spans="1:62" ht="15">
      <c r="A407" s="69" t="s">
        <v>786</v>
      </c>
      <c r="B407" s="69" t="s">
        <v>739</v>
      </c>
      <c r="C407" s="696" t="s">
        <v>740</v>
      </c>
      <c r="D407" s="693"/>
      <c r="E407" s="693"/>
      <c r="F407" s="69" t="s">
        <v>132</v>
      </c>
      <c r="G407" s="70">
        <v>1.3</v>
      </c>
      <c r="H407" s="580">
        <v>0</v>
      </c>
      <c r="I407" s="70">
        <f>G407*AO407</f>
        <v>0</v>
      </c>
      <c r="J407" s="70">
        <f>G407*AP407</f>
        <v>0</v>
      </c>
      <c r="K407" s="70">
        <f>G407*H407</f>
        <v>0</v>
      </c>
      <c r="L407" s="71" t="s">
        <v>120</v>
      </c>
      <c r="Z407" s="70">
        <f>IF(AQ407="5",BJ407,0)</f>
        <v>0</v>
      </c>
      <c r="AB407" s="70">
        <f>IF(AQ407="1",BH407,0)</f>
        <v>0</v>
      </c>
      <c r="AC407" s="70">
        <f>IF(AQ407="1",BI407,0)</f>
        <v>0</v>
      </c>
      <c r="AD407" s="70">
        <f>IF(AQ407="7",BH407,0)</f>
        <v>0</v>
      </c>
      <c r="AE407" s="70">
        <f>IF(AQ407="7",BI407,0)</f>
        <v>0</v>
      </c>
      <c r="AF407" s="70">
        <f>IF(AQ407="2",BH407,0)</f>
        <v>0</v>
      </c>
      <c r="AG407" s="70">
        <f>IF(AQ407="2",BI407,0)</f>
        <v>0</v>
      </c>
      <c r="AH407" s="70">
        <f>IF(AQ407="0",BJ407,0)</f>
        <v>0</v>
      </c>
      <c r="AI407" s="67" t="s">
        <v>221</v>
      </c>
      <c r="AJ407" s="70">
        <f>IF(AN407=0,K407,0)</f>
        <v>0</v>
      </c>
      <c r="AK407" s="70">
        <f>IF(AN407=15,K407,0)</f>
        <v>0</v>
      </c>
      <c r="AL407" s="70">
        <f>IF(AN407=21,K407,0)</f>
        <v>0</v>
      </c>
      <c r="AN407" s="70">
        <v>21</v>
      </c>
      <c r="AO407" s="70">
        <f>H407*0</f>
        <v>0</v>
      </c>
      <c r="AP407" s="70">
        <f>H407*(1-0)</f>
        <v>0</v>
      </c>
      <c r="AQ407" s="71" t="s">
        <v>124</v>
      </c>
      <c r="AV407" s="70">
        <f>AW407+AX407</f>
        <v>0</v>
      </c>
      <c r="AW407" s="70">
        <f>G407*AO407</f>
        <v>0</v>
      </c>
      <c r="AX407" s="70">
        <f>G407*AP407</f>
        <v>0</v>
      </c>
      <c r="AY407" s="71" t="s">
        <v>741</v>
      </c>
      <c r="AZ407" s="71" t="s">
        <v>787</v>
      </c>
      <c r="BA407" s="67" t="s">
        <v>509</v>
      </c>
      <c r="BC407" s="70">
        <f>AW407+AX407</f>
        <v>0</v>
      </c>
      <c r="BD407" s="70">
        <f>H407/(100-BE407)*100</f>
        <v>0</v>
      </c>
      <c r="BE407" s="70">
        <v>0</v>
      </c>
      <c r="BF407" s="70">
        <f>407</f>
        <v>407</v>
      </c>
      <c r="BH407" s="70">
        <f>G407*AO407</f>
        <v>0</v>
      </c>
      <c r="BI407" s="70">
        <f>G407*AP407</f>
        <v>0</v>
      </c>
      <c r="BJ407" s="70">
        <f>G407*H407</f>
        <v>0</v>
      </c>
    </row>
    <row r="408" spans="1:12" ht="15">
      <c r="A408" s="48"/>
      <c r="B408" s="49"/>
      <c r="C408" s="727" t="s">
        <v>788</v>
      </c>
      <c r="D408" s="728"/>
      <c r="E408" s="728"/>
      <c r="F408" s="48" t="s">
        <v>70</v>
      </c>
      <c r="G408" s="48" t="s">
        <v>70</v>
      </c>
      <c r="H408" s="48" t="s">
        <v>70</v>
      </c>
      <c r="I408" s="50">
        <f>I409+I419</f>
        <v>0</v>
      </c>
      <c r="J408" s="50">
        <f>J409+J419</f>
        <v>0</v>
      </c>
      <c r="K408" s="50">
        <f>K409+K419</f>
        <v>0</v>
      </c>
      <c r="L408" s="51"/>
    </row>
    <row r="409" spans="1:47" ht="15">
      <c r="A409" s="88"/>
      <c r="B409" s="89" t="s">
        <v>789</v>
      </c>
      <c r="C409" s="710" t="s">
        <v>790</v>
      </c>
      <c r="D409" s="711"/>
      <c r="E409" s="711"/>
      <c r="F409" s="88" t="s">
        <v>70</v>
      </c>
      <c r="G409" s="88" t="s">
        <v>70</v>
      </c>
      <c r="H409" s="88" t="s">
        <v>70</v>
      </c>
      <c r="I409" s="90">
        <f>SUM(I410:I418)</f>
        <v>0</v>
      </c>
      <c r="J409" s="90">
        <f>SUM(J410:J418)</f>
        <v>0</v>
      </c>
      <c r="K409" s="90">
        <f>SUM(K410:K418)</f>
        <v>0</v>
      </c>
      <c r="L409" s="91"/>
      <c r="AI409" s="67" t="s">
        <v>226</v>
      </c>
      <c r="AS409" s="68">
        <f>SUM(AJ410:AJ418)</f>
        <v>0</v>
      </c>
      <c r="AT409" s="68">
        <f>SUM(AK410:AK418)</f>
        <v>0</v>
      </c>
      <c r="AU409" s="68">
        <f>SUM(AL410:AL418)</f>
        <v>0</v>
      </c>
    </row>
    <row r="410" spans="1:62" ht="15">
      <c r="A410" s="69" t="s">
        <v>791</v>
      </c>
      <c r="B410" s="69" t="s">
        <v>792</v>
      </c>
      <c r="C410" s="696" t="s">
        <v>793</v>
      </c>
      <c r="D410" s="693"/>
      <c r="E410" s="693"/>
      <c r="F410" s="69" t="s">
        <v>109</v>
      </c>
      <c r="G410" s="70">
        <v>15</v>
      </c>
      <c r="H410" s="580">
        <v>0</v>
      </c>
      <c r="I410" s="70">
        <f>G410*AO410</f>
        <v>0</v>
      </c>
      <c r="J410" s="70">
        <f>G410*AP410</f>
        <v>0</v>
      </c>
      <c r="K410" s="70">
        <f>G410*H410</f>
        <v>0</v>
      </c>
      <c r="L410" s="71" t="s">
        <v>120</v>
      </c>
      <c r="Z410" s="70">
        <f>IF(AQ410="5",BJ410,0)</f>
        <v>0</v>
      </c>
      <c r="AB410" s="70">
        <f>IF(AQ410="1",BH410,0)</f>
        <v>0</v>
      </c>
      <c r="AC410" s="70">
        <f>IF(AQ410="1",BI410,0)</f>
        <v>0</v>
      </c>
      <c r="AD410" s="70">
        <f>IF(AQ410="7",BH410,0)</f>
        <v>0</v>
      </c>
      <c r="AE410" s="70">
        <f>IF(AQ410="7",BI410,0)</f>
        <v>0</v>
      </c>
      <c r="AF410" s="70">
        <f>IF(AQ410="2",BH410,0)</f>
        <v>0</v>
      </c>
      <c r="AG410" s="70">
        <f>IF(AQ410="2",BI410,0)</f>
        <v>0</v>
      </c>
      <c r="AH410" s="70">
        <f>IF(AQ410="0",BJ410,0)</f>
        <v>0</v>
      </c>
      <c r="AI410" s="67" t="s">
        <v>226</v>
      </c>
      <c r="AJ410" s="70">
        <f>IF(AN410=0,K410,0)</f>
        <v>0</v>
      </c>
      <c r="AK410" s="70">
        <f>IF(AN410=15,K410,0)</f>
        <v>0</v>
      </c>
      <c r="AL410" s="70">
        <f>IF(AN410=21,K410,0)</f>
        <v>0</v>
      </c>
      <c r="AN410" s="70">
        <v>21</v>
      </c>
      <c r="AO410" s="70">
        <f>H410*0.0738181818181818</f>
        <v>0</v>
      </c>
      <c r="AP410" s="70">
        <f>H410*(1-0.0738181818181818)</f>
        <v>0</v>
      </c>
      <c r="AQ410" s="71" t="s">
        <v>136</v>
      </c>
      <c r="AV410" s="70">
        <f>AW410+AX410</f>
        <v>0</v>
      </c>
      <c r="AW410" s="70">
        <f>G410*AO410</f>
        <v>0</v>
      </c>
      <c r="AX410" s="70">
        <f>G410*AP410</f>
        <v>0</v>
      </c>
      <c r="AY410" s="71" t="s">
        <v>794</v>
      </c>
      <c r="AZ410" s="71" t="s">
        <v>795</v>
      </c>
      <c r="BA410" s="67" t="s">
        <v>473</v>
      </c>
      <c r="BC410" s="70">
        <f>AW410+AX410</f>
        <v>0</v>
      </c>
      <c r="BD410" s="70">
        <f>H410/(100-BE410)*100</f>
        <v>0</v>
      </c>
      <c r="BE410" s="70">
        <v>0</v>
      </c>
      <c r="BF410" s="70">
        <f>410</f>
        <v>410</v>
      </c>
      <c r="BH410" s="70">
        <f>G410*AO410</f>
        <v>0</v>
      </c>
      <c r="BI410" s="70">
        <f>G410*AP410</f>
        <v>0</v>
      </c>
      <c r="BJ410" s="70">
        <f>G410*H410</f>
        <v>0</v>
      </c>
    </row>
    <row r="411" spans="1:62" ht="15">
      <c r="A411" s="69" t="s">
        <v>796</v>
      </c>
      <c r="B411" s="69" t="s">
        <v>758</v>
      </c>
      <c r="C411" s="696" t="s">
        <v>797</v>
      </c>
      <c r="D411" s="693"/>
      <c r="E411" s="693"/>
      <c r="F411" s="69" t="s">
        <v>109</v>
      </c>
      <c r="G411" s="70">
        <v>15</v>
      </c>
      <c r="H411" s="580">
        <v>0</v>
      </c>
      <c r="I411" s="70">
        <f>G411*AO411</f>
        <v>0</v>
      </c>
      <c r="J411" s="70">
        <f>G411*AP411</f>
        <v>0</v>
      </c>
      <c r="K411" s="70">
        <f>G411*H411</f>
        <v>0</v>
      </c>
      <c r="L411" s="71" t="s">
        <v>120</v>
      </c>
      <c r="Z411" s="70">
        <f>IF(AQ411="5",BJ411,0)</f>
        <v>0</v>
      </c>
      <c r="AB411" s="70">
        <f>IF(AQ411="1",BH411,0)</f>
        <v>0</v>
      </c>
      <c r="AC411" s="70">
        <f>IF(AQ411="1",BI411,0)</f>
        <v>0</v>
      </c>
      <c r="AD411" s="70">
        <f>IF(AQ411="7",BH411,0)</f>
        <v>0</v>
      </c>
      <c r="AE411" s="70">
        <f>IF(AQ411="7",BI411,0)</f>
        <v>0</v>
      </c>
      <c r="AF411" s="70">
        <f>IF(AQ411="2",BH411,0)</f>
        <v>0</v>
      </c>
      <c r="AG411" s="70">
        <f>IF(AQ411="2",BI411,0)</f>
        <v>0</v>
      </c>
      <c r="AH411" s="70">
        <f>IF(AQ411="0",BJ411,0)</f>
        <v>0</v>
      </c>
      <c r="AI411" s="67" t="s">
        <v>226</v>
      </c>
      <c r="AJ411" s="70">
        <f>IF(AN411=0,K411,0)</f>
        <v>0</v>
      </c>
      <c r="AK411" s="70">
        <f>IF(AN411=15,K411,0)</f>
        <v>0</v>
      </c>
      <c r="AL411" s="70">
        <f>IF(AN411=21,K411,0)</f>
        <v>0</v>
      </c>
      <c r="AN411" s="70">
        <v>21</v>
      </c>
      <c r="AO411" s="70">
        <f>H411*0.466666666666667</f>
        <v>0</v>
      </c>
      <c r="AP411" s="70">
        <f>H411*(1-0.466666666666667)</f>
        <v>0</v>
      </c>
      <c r="AQ411" s="71" t="s">
        <v>136</v>
      </c>
      <c r="AV411" s="70">
        <f>AW411+AX411</f>
        <v>0</v>
      </c>
      <c r="AW411" s="70">
        <f>G411*AO411</f>
        <v>0</v>
      </c>
      <c r="AX411" s="70">
        <f>G411*AP411</f>
        <v>0</v>
      </c>
      <c r="AY411" s="71" t="s">
        <v>794</v>
      </c>
      <c r="AZ411" s="71" t="s">
        <v>795</v>
      </c>
      <c r="BA411" s="67" t="s">
        <v>473</v>
      </c>
      <c r="BC411" s="70">
        <f>AW411+AX411</f>
        <v>0</v>
      </c>
      <c r="BD411" s="70">
        <f>H411/(100-BE411)*100</f>
        <v>0</v>
      </c>
      <c r="BE411" s="70">
        <v>0</v>
      </c>
      <c r="BF411" s="70">
        <f>411</f>
        <v>411</v>
      </c>
      <c r="BH411" s="70">
        <f>G411*AO411</f>
        <v>0</v>
      </c>
      <c r="BI411" s="70">
        <f>G411*AP411</f>
        <v>0</v>
      </c>
      <c r="BJ411" s="70">
        <f>G411*H411</f>
        <v>0</v>
      </c>
    </row>
    <row r="412" spans="1:62" ht="15">
      <c r="A412" s="69" t="s">
        <v>798</v>
      </c>
      <c r="B412" s="69" t="s">
        <v>390</v>
      </c>
      <c r="C412" s="696" t="s">
        <v>799</v>
      </c>
      <c r="D412" s="693"/>
      <c r="E412" s="693"/>
      <c r="F412" s="69" t="s">
        <v>109</v>
      </c>
      <c r="G412" s="70">
        <v>15</v>
      </c>
      <c r="H412" s="580">
        <v>0</v>
      </c>
      <c r="I412" s="70">
        <f>G412*AO412</f>
        <v>0</v>
      </c>
      <c r="J412" s="70">
        <f>G412*AP412</f>
        <v>0</v>
      </c>
      <c r="K412" s="70">
        <f>G412*H412</f>
        <v>0</v>
      </c>
      <c r="L412" s="71" t="s">
        <v>120</v>
      </c>
      <c r="Z412" s="70">
        <f>IF(AQ412="5",BJ412,0)</f>
        <v>0</v>
      </c>
      <c r="AB412" s="70">
        <f>IF(AQ412="1",BH412,0)</f>
        <v>0</v>
      </c>
      <c r="AC412" s="70">
        <f>IF(AQ412="1",BI412,0)</f>
        <v>0</v>
      </c>
      <c r="AD412" s="70">
        <f>IF(AQ412="7",BH412,0)</f>
        <v>0</v>
      </c>
      <c r="AE412" s="70">
        <f>IF(AQ412="7",BI412,0)</f>
        <v>0</v>
      </c>
      <c r="AF412" s="70">
        <f>IF(AQ412="2",BH412,0)</f>
        <v>0</v>
      </c>
      <c r="AG412" s="70">
        <f>IF(AQ412="2",BI412,0)</f>
        <v>0</v>
      </c>
      <c r="AH412" s="70">
        <f>IF(AQ412="0",BJ412,0)</f>
        <v>0</v>
      </c>
      <c r="AI412" s="67" t="s">
        <v>226</v>
      </c>
      <c r="AJ412" s="70">
        <f>IF(AN412=0,K412,0)</f>
        <v>0</v>
      </c>
      <c r="AK412" s="70">
        <f>IF(AN412=15,K412,0)</f>
        <v>0</v>
      </c>
      <c r="AL412" s="70">
        <f>IF(AN412=21,K412,0)</f>
        <v>0</v>
      </c>
      <c r="AN412" s="70">
        <v>21</v>
      </c>
      <c r="AO412" s="70">
        <f>H412*0.475652173913043</f>
        <v>0</v>
      </c>
      <c r="AP412" s="70">
        <f>H412*(1-0.475652173913043)</f>
        <v>0</v>
      </c>
      <c r="AQ412" s="71" t="s">
        <v>136</v>
      </c>
      <c r="AV412" s="70">
        <f>AW412+AX412</f>
        <v>0</v>
      </c>
      <c r="AW412" s="70">
        <f>G412*AO412</f>
        <v>0</v>
      </c>
      <c r="AX412" s="70">
        <f>G412*AP412</f>
        <v>0</v>
      </c>
      <c r="AY412" s="71" t="s">
        <v>794</v>
      </c>
      <c r="AZ412" s="71" t="s">
        <v>795</v>
      </c>
      <c r="BA412" s="67" t="s">
        <v>473</v>
      </c>
      <c r="BC412" s="70">
        <f>AW412+AX412</f>
        <v>0</v>
      </c>
      <c r="BD412" s="70">
        <f>H412/(100-BE412)*100</f>
        <v>0</v>
      </c>
      <c r="BE412" s="70">
        <v>0</v>
      </c>
      <c r="BF412" s="70">
        <f>412</f>
        <v>412</v>
      </c>
      <c r="BH412" s="70">
        <f>G412*AO412</f>
        <v>0</v>
      </c>
      <c r="BI412" s="70">
        <f>G412*AP412</f>
        <v>0</v>
      </c>
      <c r="BJ412" s="70">
        <f>G412*H412</f>
        <v>0</v>
      </c>
    </row>
    <row r="413" spans="1:62" ht="15">
      <c r="A413" s="69" t="s">
        <v>800</v>
      </c>
      <c r="B413" s="69" t="s">
        <v>801</v>
      </c>
      <c r="C413" s="696" t="s">
        <v>802</v>
      </c>
      <c r="D413" s="693"/>
      <c r="E413" s="693"/>
      <c r="F413" s="69" t="s">
        <v>109</v>
      </c>
      <c r="G413" s="70">
        <v>30</v>
      </c>
      <c r="H413" s="580">
        <v>0</v>
      </c>
      <c r="I413" s="70">
        <f>G413*AO413</f>
        <v>0</v>
      </c>
      <c r="J413" s="70">
        <f>G413*AP413</f>
        <v>0</v>
      </c>
      <c r="K413" s="70">
        <f>G413*H413</f>
        <v>0</v>
      </c>
      <c r="L413" s="71" t="s">
        <v>120</v>
      </c>
      <c r="Z413" s="70">
        <f>IF(AQ413="5",BJ413,0)</f>
        <v>0</v>
      </c>
      <c r="AB413" s="70">
        <f>IF(AQ413="1",BH413,0)</f>
        <v>0</v>
      </c>
      <c r="AC413" s="70">
        <f>IF(AQ413="1",BI413,0)</f>
        <v>0</v>
      </c>
      <c r="AD413" s="70">
        <f>IF(AQ413="7",BH413,0)</f>
        <v>0</v>
      </c>
      <c r="AE413" s="70">
        <f>IF(AQ413="7",BI413,0)</f>
        <v>0</v>
      </c>
      <c r="AF413" s="70">
        <f>IF(AQ413="2",BH413,0)</f>
        <v>0</v>
      </c>
      <c r="AG413" s="70">
        <f>IF(AQ413="2",BI413,0)</f>
        <v>0</v>
      </c>
      <c r="AH413" s="70">
        <f>IF(AQ413="0",BJ413,0)</f>
        <v>0</v>
      </c>
      <c r="AI413" s="67" t="s">
        <v>226</v>
      </c>
      <c r="AJ413" s="70">
        <f>IF(AN413=0,K413,0)</f>
        <v>0</v>
      </c>
      <c r="AK413" s="70">
        <f>IF(AN413=15,K413,0)</f>
        <v>0</v>
      </c>
      <c r="AL413" s="70">
        <f>IF(AN413=21,K413,0)</f>
        <v>0</v>
      </c>
      <c r="AN413" s="70">
        <v>21</v>
      </c>
      <c r="AO413" s="70">
        <f>H413*0.215089820359281</f>
        <v>0</v>
      </c>
      <c r="AP413" s="70">
        <f>H413*(1-0.215089820359281)</f>
        <v>0</v>
      </c>
      <c r="AQ413" s="71" t="s">
        <v>136</v>
      </c>
      <c r="AV413" s="70">
        <f>AW413+AX413</f>
        <v>0</v>
      </c>
      <c r="AW413" s="70">
        <f>G413*AO413</f>
        <v>0</v>
      </c>
      <c r="AX413" s="70">
        <f>G413*AP413</f>
        <v>0</v>
      </c>
      <c r="AY413" s="71" t="s">
        <v>794</v>
      </c>
      <c r="AZ413" s="71" t="s">
        <v>795</v>
      </c>
      <c r="BA413" s="67" t="s">
        <v>473</v>
      </c>
      <c r="BC413" s="70">
        <f>AW413+AX413</f>
        <v>0</v>
      </c>
      <c r="BD413" s="70">
        <f>H413/(100-BE413)*100</f>
        <v>0</v>
      </c>
      <c r="BE413" s="70">
        <v>0</v>
      </c>
      <c r="BF413" s="70">
        <f>413</f>
        <v>413</v>
      </c>
      <c r="BH413" s="70">
        <f>G413*AO413</f>
        <v>0</v>
      </c>
      <c r="BI413" s="70">
        <f>G413*AP413</f>
        <v>0</v>
      </c>
      <c r="BJ413" s="70">
        <f>G413*H413</f>
        <v>0</v>
      </c>
    </row>
    <row r="414" spans="2:12" ht="12.75" customHeight="1">
      <c r="B414" s="75" t="s">
        <v>67</v>
      </c>
      <c r="C414" s="725" t="s">
        <v>803</v>
      </c>
      <c r="D414" s="726"/>
      <c r="E414" s="726"/>
      <c r="F414" s="726"/>
      <c r="G414" s="726"/>
      <c r="H414" s="726"/>
      <c r="I414" s="726"/>
      <c r="J414" s="726"/>
      <c r="K414" s="726"/>
      <c r="L414" s="726"/>
    </row>
    <row r="415" spans="1:62" ht="15">
      <c r="A415" s="69" t="s">
        <v>804</v>
      </c>
      <c r="B415" s="69" t="s">
        <v>805</v>
      </c>
      <c r="C415" s="696" t="s">
        <v>806</v>
      </c>
      <c r="D415" s="693"/>
      <c r="E415" s="693"/>
      <c r="F415" s="69" t="s">
        <v>109</v>
      </c>
      <c r="G415" s="70">
        <v>15</v>
      </c>
      <c r="H415" s="580">
        <v>0</v>
      </c>
      <c r="I415" s="70">
        <f>G415*AO415</f>
        <v>0</v>
      </c>
      <c r="J415" s="70">
        <f>G415*AP415</f>
        <v>0</v>
      </c>
      <c r="K415" s="70">
        <f>G415*H415</f>
        <v>0</v>
      </c>
      <c r="L415" s="71" t="s">
        <v>120</v>
      </c>
      <c r="Z415" s="70">
        <f>IF(AQ415="5",BJ415,0)</f>
        <v>0</v>
      </c>
      <c r="AB415" s="70">
        <f>IF(AQ415="1",BH415,0)</f>
        <v>0</v>
      </c>
      <c r="AC415" s="70">
        <f>IF(AQ415="1",BI415,0)</f>
        <v>0</v>
      </c>
      <c r="AD415" s="70">
        <f>IF(AQ415="7",BH415,0)</f>
        <v>0</v>
      </c>
      <c r="AE415" s="70">
        <f>IF(AQ415="7",BI415,0)</f>
        <v>0</v>
      </c>
      <c r="AF415" s="70">
        <f>IF(AQ415="2",BH415,0)</f>
        <v>0</v>
      </c>
      <c r="AG415" s="70">
        <f>IF(AQ415="2",BI415,0)</f>
        <v>0</v>
      </c>
      <c r="AH415" s="70">
        <f>IF(AQ415="0",BJ415,0)</f>
        <v>0</v>
      </c>
      <c r="AI415" s="67" t="s">
        <v>226</v>
      </c>
      <c r="AJ415" s="70">
        <f>IF(AN415=0,K415,0)</f>
        <v>0</v>
      </c>
      <c r="AK415" s="70">
        <f>IF(AN415=15,K415,0)</f>
        <v>0</v>
      </c>
      <c r="AL415" s="70">
        <f>IF(AN415=21,K415,0)</f>
        <v>0</v>
      </c>
      <c r="AN415" s="70">
        <v>21</v>
      </c>
      <c r="AO415" s="70">
        <f>H415*0.411127819548872</f>
        <v>0</v>
      </c>
      <c r="AP415" s="70">
        <f>H415*(1-0.411127819548872)</f>
        <v>0</v>
      </c>
      <c r="AQ415" s="71" t="s">
        <v>136</v>
      </c>
      <c r="AV415" s="70">
        <f>AW415+AX415</f>
        <v>0</v>
      </c>
      <c r="AW415" s="70">
        <f>G415*AO415</f>
        <v>0</v>
      </c>
      <c r="AX415" s="70">
        <f>G415*AP415</f>
        <v>0</v>
      </c>
      <c r="AY415" s="71" t="s">
        <v>794</v>
      </c>
      <c r="AZ415" s="71" t="s">
        <v>795</v>
      </c>
      <c r="BA415" s="67" t="s">
        <v>473</v>
      </c>
      <c r="BC415" s="70">
        <f>AW415+AX415</f>
        <v>0</v>
      </c>
      <c r="BD415" s="70">
        <f>H415/(100-BE415)*100</f>
        <v>0</v>
      </c>
      <c r="BE415" s="70">
        <v>0</v>
      </c>
      <c r="BF415" s="70">
        <f>415</f>
        <v>415</v>
      </c>
      <c r="BH415" s="70">
        <f>G415*AO415</f>
        <v>0</v>
      </c>
      <c r="BI415" s="70">
        <f>G415*AP415</f>
        <v>0</v>
      </c>
      <c r="BJ415" s="70">
        <f>G415*H415</f>
        <v>0</v>
      </c>
    </row>
    <row r="416" spans="1:62" ht="15">
      <c r="A416" s="69" t="s">
        <v>807</v>
      </c>
      <c r="B416" s="69" t="s">
        <v>808</v>
      </c>
      <c r="C416" s="696" t="s">
        <v>809</v>
      </c>
      <c r="D416" s="693"/>
      <c r="E416" s="693"/>
      <c r="F416" s="69" t="s">
        <v>109</v>
      </c>
      <c r="G416" s="70">
        <v>0.3</v>
      </c>
      <c r="H416" s="580">
        <v>0</v>
      </c>
      <c r="I416" s="70">
        <f>G416*AO416</f>
        <v>0</v>
      </c>
      <c r="J416" s="70">
        <f>G416*AP416</f>
        <v>0</v>
      </c>
      <c r="K416" s="70">
        <f>G416*H416</f>
        <v>0</v>
      </c>
      <c r="L416" s="71" t="s">
        <v>120</v>
      </c>
      <c r="Z416" s="70">
        <f>IF(AQ416="5",BJ416,0)</f>
        <v>0</v>
      </c>
      <c r="AB416" s="70">
        <f>IF(AQ416="1",BH416,0)</f>
        <v>0</v>
      </c>
      <c r="AC416" s="70">
        <f>IF(AQ416="1",BI416,0)</f>
        <v>0</v>
      </c>
      <c r="AD416" s="70">
        <f>IF(AQ416="7",BH416,0)</f>
        <v>0</v>
      </c>
      <c r="AE416" s="70">
        <f>IF(AQ416="7",BI416,0)</f>
        <v>0</v>
      </c>
      <c r="AF416" s="70">
        <f>IF(AQ416="2",BH416,0)</f>
        <v>0</v>
      </c>
      <c r="AG416" s="70">
        <f>IF(AQ416="2",BI416,0)</f>
        <v>0</v>
      </c>
      <c r="AH416" s="70">
        <f>IF(AQ416="0",BJ416,0)</f>
        <v>0</v>
      </c>
      <c r="AI416" s="67" t="s">
        <v>226</v>
      </c>
      <c r="AJ416" s="70">
        <f>IF(AN416=0,K416,0)</f>
        <v>0</v>
      </c>
      <c r="AK416" s="70">
        <f>IF(AN416=15,K416,0)</f>
        <v>0</v>
      </c>
      <c r="AL416" s="70">
        <f>IF(AN416=21,K416,0)</f>
        <v>0</v>
      </c>
      <c r="AN416" s="70">
        <v>21</v>
      </c>
      <c r="AO416" s="70">
        <f>H416*0.0514084507042254</f>
        <v>0</v>
      </c>
      <c r="AP416" s="70">
        <f>H416*(1-0.0514084507042254)</f>
        <v>0</v>
      </c>
      <c r="AQ416" s="71" t="s">
        <v>136</v>
      </c>
      <c r="AV416" s="70">
        <f>AW416+AX416</f>
        <v>0</v>
      </c>
      <c r="AW416" s="70">
        <f>G416*AO416</f>
        <v>0</v>
      </c>
      <c r="AX416" s="70">
        <f>G416*AP416</f>
        <v>0</v>
      </c>
      <c r="AY416" s="71" t="s">
        <v>794</v>
      </c>
      <c r="AZ416" s="71" t="s">
        <v>795</v>
      </c>
      <c r="BA416" s="67" t="s">
        <v>473</v>
      </c>
      <c r="BC416" s="70">
        <f>AW416+AX416</f>
        <v>0</v>
      </c>
      <c r="BD416" s="70">
        <f>H416/(100-BE416)*100</f>
        <v>0</v>
      </c>
      <c r="BE416" s="70">
        <v>0</v>
      </c>
      <c r="BF416" s="70">
        <f>416</f>
        <v>416</v>
      </c>
      <c r="BH416" s="70">
        <f>G416*AO416</f>
        <v>0</v>
      </c>
      <c r="BI416" s="70">
        <f>G416*AP416</f>
        <v>0</v>
      </c>
      <c r="BJ416" s="70">
        <f>G416*H416</f>
        <v>0</v>
      </c>
    </row>
    <row r="417" spans="1:62" ht="15">
      <c r="A417" s="69" t="s">
        <v>810</v>
      </c>
      <c r="B417" s="69" t="s">
        <v>811</v>
      </c>
      <c r="C417" s="696" t="s">
        <v>812</v>
      </c>
      <c r="D417" s="693"/>
      <c r="E417" s="693"/>
      <c r="F417" s="69" t="s">
        <v>109</v>
      </c>
      <c r="G417" s="70">
        <v>1</v>
      </c>
      <c r="H417" s="580">
        <v>0</v>
      </c>
      <c r="I417" s="70">
        <f>G417*AO417</f>
        <v>0</v>
      </c>
      <c r="J417" s="70">
        <f>G417*AP417</f>
        <v>0</v>
      </c>
      <c r="K417" s="70">
        <f>G417*H417</f>
        <v>0</v>
      </c>
      <c r="L417" s="71" t="s">
        <v>120</v>
      </c>
      <c r="Z417" s="70">
        <f>IF(AQ417="5",BJ417,0)</f>
        <v>0</v>
      </c>
      <c r="AB417" s="70">
        <f>IF(AQ417="1",BH417,0)</f>
        <v>0</v>
      </c>
      <c r="AC417" s="70">
        <f>IF(AQ417="1",BI417,0)</f>
        <v>0</v>
      </c>
      <c r="AD417" s="70">
        <f>IF(AQ417="7",BH417,0)</f>
        <v>0</v>
      </c>
      <c r="AE417" s="70">
        <f>IF(AQ417="7",BI417,0)</f>
        <v>0</v>
      </c>
      <c r="AF417" s="70">
        <f>IF(AQ417="2",BH417,0)</f>
        <v>0</v>
      </c>
      <c r="AG417" s="70">
        <f>IF(AQ417="2",BI417,0)</f>
        <v>0</v>
      </c>
      <c r="AH417" s="70">
        <f>IF(AQ417="0",BJ417,0)</f>
        <v>0</v>
      </c>
      <c r="AI417" s="67" t="s">
        <v>226</v>
      </c>
      <c r="AJ417" s="70">
        <f>IF(AN417=0,K417,0)</f>
        <v>0</v>
      </c>
      <c r="AK417" s="70">
        <f>IF(AN417=15,K417,0)</f>
        <v>0</v>
      </c>
      <c r="AL417" s="70">
        <f>IF(AN417=21,K417,0)</f>
        <v>0</v>
      </c>
      <c r="AN417" s="70">
        <v>21</v>
      </c>
      <c r="AO417" s="70">
        <f>H417*0.275086505190311</f>
        <v>0</v>
      </c>
      <c r="AP417" s="70">
        <f>H417*(1-0.275086505190311)</f>
        <v>0</v>
      </c>
      <c r="AQ417" s="71" t="s">
        <v>136</v>
      </c>
      <c r="AV417" s="70">
        <f>AW417+AX417</f>
        <v>0</v>
      </c>
      <c r="AW417" s="70">
        <f>G417*AO417</f>
        <v>0</v>
      </c>
      <c r="AX417" s="70">
        <f>G417*AP417</f>
        <v>0</v>
      </c>
      <c r="AY417" s="71" t="s">
        <v>794</v>
      </c>
      <c r="AZ417" s="71" t="s">
        <v>795</v>
      </c>
      <c r="BA417" s="67" t="s">
        <v>473</v>
      </c>
      <c r="BC417" s="70">
        <f>AW417+AX417</f>
        <v>0</v>
      </c>
      <c r="BD417" s="70">
        <f>H417/(100-BE417)*100</f>
        <v>0</v>
      </c>
      <c r="BE417" s="70">
        <v>0</v>
      </c>
      <c r="BF417" s="70">
        <f>417</f>
        <v>417</v>
      </c>
      <c r="BH417" s="70">
        <f>G417*AO417</f>
        <v>0</v>
      </c>
      <c r="BI417" s="70">
        <f>G417*AP417</f>
        <v>0</v>
      </c>
      <c r="BJ417" s="70">
        <f>G417*H417</f>
        <v>0</v>
      </c>
    </row>
    <row r="418" spans="1:62" ht="15">
      <c r="A418" s="69" t="s">
        <v>813</v>
      </c>
      <c r="B418" s="69" t="s">
        <v>814</v>
      </c>
      <c r="C418" s="696" t="s">
        <v>815</v>
      </c>
      <c r="D418" s="693"/>
      <c r="E418" s="693"/>
      <c r="F418" s="69" t="s">
        <v>109</v>
      </c>
      <c r="G418" s="70">
        <v>2</v>
      </c>
      <c r="H418" s="580">
        <v>0</v>
      </c>
      <c r="I418" s="70">
        <f>G418*AO418</f>
        <v>0</v>
      </c>
      <c r="J418" s="70">
        <f>G418*AP418</f>
        <v>0</v>
      </c>
      <c r="K418" s="70">
        <f>G418*H418</f>
        <v>0</v>
      </c>
      <c r="L418" s="71" t="s">
        <v>120</v>
      </c>
      <c r="Z418" s="70">
        <f>IF(AQ418="5",BJ418,0)</f>
        <v>0</v>
      </c>
      <c r="AB418" s="70">
        <f>IF(AQ418="1",BH418,0)</f>
        <v>0</v>
      </c>
      <c r="AC418" s="70">
        <f>IF(AQ418="1",BI418,0)</f>
        <v>0</v>
      </c>
      <c r="AD418" s="70">
        <f>IF(AQ418="7",BH418,0)</f>
        <v>0</v>
      </c>
      <c r="AE418" s="70">
        <f>IF(AQ418="7",BI418,0)</f>
        <v>0</v>
      </c>
      <c r="AF418" s="70">
        <f>IF(AQ418="2",BH418,0)</f>
        <v>0</v>
      </c>
      <c r="AG418" s="70">
        <f>IF(AQ418="2",BI418,0)</f>
        <v>0</v>
      </c>
      <c r="AH418" s="70">
        <f>IF(AQ418="0",BJ418,0)</f>
        <v>0</v>
      </c>
      <c r="AI418" s="67" t="s">
        <v>226</v>
      </c>
      <c r="AJ418" s="70">
        <f>IF(AN418=0,K418,0)</f>
        <v>0</v>
      </c>
      <c r="AK418" s="70">
        <f>IF(AN418=15,K418,0)</f>
        <v>0</v>
      </c>
      <c r="AL418" s="70">
        <f>IF(AN418=21,K418,0)</f>
        <v>0</v>
      </c>
      <c r="AN418" s="70">
        <v>21</v>
      </c>
      <c r="AO418" s="70">
        <f>H418*0.284545454545455</f>
        <v>0</v>
      </c>
      <c r="AP418" s="70">
        <f>H418*(1-0.284545454545455)</f>
        <v>0</v>
      </c>
      <c r="AQ418" s="71" t="s">
        <v>136</v>
      </c>
      <c r="AV418" s="70">
        <f>AW418+AX418</f>
        <v>0</v>
      </c>
      <c r="AW418" s="70">
        <f>G418*AO418</f>
        <v>0</v>
      </c>
      <c r="AX418" s="70">
        <f>G418*AP418</f>
        <v>0</v>
      </c>
      <c r="AY418" s="71" t="s">
        <v>794</v>
      </c>
      <c r="AZ418" s="71" t="s">
        <v>795</v>
      </c>
      <c r="BA418" s="67" t="s">
        <v>473</v>
      </c>
      <c r="BC418" s="70">
        <f>AW418+AX418</f>
        <v>0</v>
      </c>
      <c r="BD418" s="70">
        <f>H418/(100-BE418)*100</f>
        <v>0</v>
      </c>
      <c r="BE418" s="70">
        <v>0</v>
      </c>
      <c r="BF418" s="70">
        <f>418</f>
        <v>418</v>
      </c>
      <c r="BH418" s="70">
        <f>G418*AO418</f>
        <v>0</v>
      </c>
      <c r="BI418" s="70">
        <f>G418*AP418</f>
        <v>0</v>
      </c>
      <c r="BJ418" s="70">
        <f>G418*H418</f>
        <v>0</v>
      </c>
    </row>
    <row r="419" spans="1:47" ht="15">
      <c r="A419" s="88"/>
      <c r="B419" s="89" t="s">
        <v>816</v>
      </c>
      <c r="C419" s="710" t="s">
        <v>817</v>
      </c>
      <c r="D419" s="711"/>
      <c r="E419" s="711"/>
      <c r="F419" s="88" t="s">
        <v>70</v>
      </c>
      <c r="G419" s="88" t="s">
        <v>70</v>
      </c>
      <c r="H419" s="88" t="s">
        <v>70</v>
      </c>
      <c r="I419" s="90">
        <f>SUM(I420:I420)</f>
        <v>0</v>
      </c>
      <c r="J419" s="90">
        <f>SUM(J420:J420)</f>
        <v>0</v>
      </c>
      <c r="K419" s="90">
        <f>SUM(K420:K420)</f>
        <v>0</v>
      </c>
      <c r="L419" s="91"/>
      <c r="AI419" s="67" t="s">
        <v>226</v>
      </c>
      <c r="AS419" s="68">
        <f>SUM(AJ420:AJ420)</f>
        <v>0</v>
      </c>
      <c r="AT419" s="68">
        <f>SUM(AK420:AK420)</f>
        <v>0</v>
      </c>
      <c r="AU419" s="68">
        <f>SUM(AL420:AL420)</f>
        <v>0</v>
      </c>
    </row>
    <row r="420" spans="1:62" ht="15">
      <c r="A420" s="69" t="s">
        <v>818</v>
      </c>
      <c r="B420" s="69" t="s">
        <v>819</v>
      </c>
      <c r="C420" s="696" t="s">
        <v>820</v>
      </c>
      <c r="D420" s="693"/>
      <c r="E420" s="693"/>
      <c r="F420" s="69" t="s">
        <v>132</v>
      </c>
      <c r="G420" s="70">
        <v>0.3</v>
      </c>
      <c r="H420" s="580">
        <v>0</v>
      </c>
      <c r="I420" s="70">
        <f>G420*AO420</f>
        <v>0</v>
      </c>
      <c r="J420" s="70">
        <f>G420*AP420</f>
        <v>0</v>
      </c>
      <c r="K420" s="70">
        <f>G420*H420</f>
        <v>0</v>
      </c>
      <c r="L420" s="71" t="s">
        <v>120</v>
      </c>
      <c r="Z420" s="70">
        <f>IF(AQ420="5",BJ420,0)</f>
        <v>0</v>
      </c>
      <c r="AB420" s="70">
        <f>IF(AQ420="1",BH420,0)</f>
        <v>0</v>
      </c>
      <c r="AC420" s="70">
        <f>IF(AQ420="1",BI420,0)</f>
        <v>0</v>
      </c>
      <c r="AD420" s="70">
        <f>IF(AQ420="7",BH420,0)</f>
        <v>0</v>
      </c>
      <c r="AE420" s="70">
        <f>IF(AQ420="7",BI420,0)</f>
        <v>0</v>
      </c>
      <c r="AF420" s="70">
        <f>IF(AQ420="2",BH420,0)</f>
        <v>0</v>
      </c>
      <c r="AG420" s="70">
        <f>IF(AQ420="2",BI420,0)</f>
        <v>0</v>
      </c>
      <c r="AH420" s="70">
        <f>IF(AQ420="0",BJ420,0)</f>
        <v>0</v>
      </c>
      <c r="AI420" s="67" t="s">
        <v>226</v>
      </c>
      <c r="AJ420" s="70">
        <f>IF(AN420=0,K420,0)</f>
        <v>0</v>
      </c>
      <c r="AK420" s="70">
        <f>IF(AN420=15,K420,0)</f>
        <v>0</v>
      </c>
      <c r="AL420" s="70">
        <f>IF(AN420=21,K420,0)</f>
        <v>0</v>
      </c>
      <c r="AN420" s="70">
        <v>21</v>
      </c>
      <c r="AO420" s="70">
        <f>H420*0</f>
        <v>0</v>
      </c>
      <c r="AP420" s="70">
        <f>H420*(1-0)</f>
        <v>0</v>
      </c>
      <c r="AQ420" s="71" t="s">
        <v>124</v>
      </c>
      <c r="AV420" s="70">
        <f>AW420+AX420</f>
        <v>0</v>
      </c>
      <c r="AW420" s="70">
        <f>G420*AO420</f>
        <v>0</v>
      </c>
      <c r="AX420" s="70">
        <f>G420*AP420</f>
        <v>0</v>
      </c>
      <c r="AY420" s="71" t="s">
        <v>821</v>
      </c>
      <c r="AZ420" s="71" t="s">
        <v>822</v>
      </c>
      <c r="BA420" s="67" t="s">
        <v>473</v>
      </c>
      <c r="BC420" s="70">
        <f>AW420+AX420</f>
        <v>0</v>
      </c>
      <c r="BD420" s="70">
        <f>H420/(100-BE420)*100</f>
        <v>0</v>
      </c>
      <c r="BE420" s="70">
        <v>0</v>
      </c>
      <c r="BF420" s="70">
        <f>420</f>
        <v>420</v>
      </c>
      <c r="BH420" s="70">
        <f>G420*AO420</f>
        <v>0</v>
      </c>
      <c r="BI420" s="70">
        <f>G420*AP420</f>
        <v>0</v>
      </c>
      <c r="BJ420" s="70">
        <f>G420*H420</f>
        <v>0</v>
      </c>
    </row>
    <row r="421" spans="1:12" ht="15">
      <c r="A421" s="48"/>
      <c r="B421" s="49"/>
      <c r="C421" s="727" t="s">
        <v>823</v>
      </c>
      <c r="D421" s="728"/>
      <c r="E421" s="728"/>
      <c r="F421" s="48" t="s">
        <v>70</v>
      </c>
      <c r="G421" s="48" t="s">
        <v>70</v>
      </c>
      <c r="H421" s="48" t="s">
        <v>70</v>
      </c>
      <c r="I421" s="50">
        <f>I422+I427+I432+I434+I437+I439</f>
        <v>0</v>
      </c>
      <c r="J421" s="50">
        <f>J422+J427+J432+J434+J437+J439</f>
        <v>0</v>
      </c>
      <c r="K421" s="50">
        <f>K422+K427+K432+K434+K437+K439</f>
        <v>0</v>
      </c>
      <c r="L421" s="51"/>
    </row>
    <row r="422" spans="1:47" ht="15">
      <c r="A422" s="88"/>
      <c r="B422" s="89" t="s">
        <v>169</v>
      </c>
      <c r="C422" s="710" t="s">
        <v>278</v>
      </c>
      <c r="D422" s="711"/>
      <c r="E422" s="711"/>
      <c r="F422" s="88" t="s">
        <v>70</v>
      </c>
      <c r="G422" s="88" t="s">
        <v>70</v>
      </c>
      <c r="H422" s="88" t="s">
        <v>70</v>
      </c>
      <c r="I422" s="90">
        <f>SUM(I423:I426)</f>
        <v>0</v>
      </c>
      <c r="J422" s="90">
        <f>SUM(J423:J426)</f>
        <v>0</v>
      </c>
      <c r="K422" s="90">
        <f>SUM(K423:K426)</f>
        <v>0</v>
      </c>
      <c r="L422" s="91"/>
      <c r="AI422" s="67" t="s">
        <v>229</v>
      </c>
      <c r="AS422" s="68">
        <f>SUM(AJ423:AJ426)</f>
        <v>0</v>
      </c>
      <c r="AT422" s="68">
        <f>SUM(AK423:AK426)</f>
        <v>0</v>
      </c>
      <c r="AU422" s="68">
        <f>SUM(AL423:AL426)</f>
        <v>0</v>
      </c>
    </row>
    <row r="423" spans="1:62" ht="15">
      <c r="A423" s="69" t="s">
        <v>824</v>
      </c>
      <c r="B423" s="69" t="s">
        <v>280</v>
      </c>
      <c r="C423" s="696" t="s">
        <v>825</v>
      </c>
      <c r="D423" s="693"/>
      <c r="E423" s="693"/>
      <c r="F423" s="69" t="s">
        <v>253</v>
      </c>
      <c r="G423" s="70">
        <v>13.7</v>
      </c>
      <c r="H423" s="580">
        <v>0</v>
      </c>
      <c r="I423" s="70">
        <f>G423*AO423</f>
        <v>0</v>
      </c>
      <c r="J423" s="70">
        <f>G423*AP423</f>
        <v>0</v>
      </c>
      <c r="K423" s="70">
        <f>G423*H423</f>
        <v>0</v>
      </c>
      <c r="L423" s="71" t="s">
        <v>282</v>
      </c>
      <c r="Z423" s="70">
        <f>IF(AQ423="5",BJ423,0)</f>
        <v>0</v>
      </c>
      <c r="AB423" s="70">
        <f>IF(AQ423="1",BH423,0)</f>
        <v>0</v>
      </c>
      <c r="AC423" s="70">
        <f>IF(AQ423="1",BI423,0)</f>
        <v>0</v>
      </c>
      <c r="AD423" s="70">
        <f>IF(AQ423="7",BH423,0)</f>
        <v>0</v>
      </c>
      <c r="AE423" s="70">
        <f>IF(AQ423="7",BI423,0)</f>
        <v>0</v>
      </c>
      <c r="AF423" s="70">
        <f>IF(AQ423="2",BH423,0)</f>
        <v>0</v>
      </c>
      <c r="AG423" s="70">
        <f>IF(AQ423="2",BI423,0)</f>
        <v>0</v>
      </c>
      <c r="AH423" s="70">
        <f>IF(AQ423="0",BJ423,0)</f>
        <v>0</v>
      </c>
      <c r="AI423" s="67" t="s">
        <v>229</v>
      </c>
      <c r="AJ423" s="70">
        <f>IF(AN423=0,K423,0)</f>
        <v>0</v>
      </c>
      <c r="AK423" s="70">
        <f>IF(AN423=15,K423,0)</f>
        <v>0</v>
      </c>
      <c r="AL423" s="70">
        <f>IF(AN423=21,K423,0)</f>
        <v>0</v>
      </c>
      <c r="AN423" s="70">
        <v>21</v>
      </c>
      <c r="AO423" s="70">
        <f>H423*0</f>
        <v>0</v>
      </c>
      <c r="AP423" s="70">
        <f>H423*(1-0)</f>
        <v>0</v>
      </c>
      <c r="AQ423" s="71" t="s">
        <v>106</v>
      </c>
      <c r="AV423" s="70">
        <f>AW423+AX423</f>
        <v>0</v>
      </c>
      <c r="AW423" s="70">
        <f>G423*AO423</f>
        <v>0</v>
      </c>
      <c r="AX423" s="70">
        <f>G423*AP423</f>
        <v>0</v>
      </c>
      <c r="AY423" s="71" t="s">
        <v>283</v>
      </c>
      <c r="AZ423" s="71" t="s">
        <v>826</v>
      </c>
      <c r="BA423" s="67" t="s">
        <v>680</v>
      </c>
      <c r="BC423" s="70">
        <f>AW423+AX423</f>
        <v>0</v>
      </c>
      <c r="BD423" s="70">
        <f>H423/(100-BE423)*100</f>
        <v>0</v>
      </c>
      <c r="BE423" s="70">
        <v>0</v>
      </c>
      <c r="BF423" s="70">
        <f>423</f>
        <v>423</v>
      </c>
      <c r="BH423" s="70">
        <f>G423*AO423</f>
        <v>0</v>
      </c>
      <c r="BI423" s="70">
        <f>G423*AP423</f>
        <v>0</v>
      </c>
      <c r="BJ423" s="70">
        <f>G423*H423</f>
        <v>0</v>
      </c>
    </row>
    <row r="424" spans="1:62" ht="15">
      <c r="A424" s="69" t="s">
        <v>827</v>
      </c>
      <c r="B424" s="69" t="s">
        <v>318</v>
      </c>
      <c r="C424" s="696" t="s">
        <v>319</v>
      </c>
      <c r="D424" s="693"/>
      <c r="E424" s="693"/>
      <c r="F424" s="69" t="s">
        <v>109</v>
      </c>
      <c r="G424" s="70">
        <v>38</v>
      </c>
      <c r="H424" s="580">
        <v>0</v>
      </c>
      <c r="I424" s="70">
        <f>G424*AO424</f>
        <v>0</v>
      </c>
      <c r="J424" s="70">
        <f>G424*AP424</f>
        <v>0</v>
      </c>
      <c r="K424" s="70">
        <f>G424*H424</f>
        <v>0</v>
      </c>
      <c r="L424" s="71" t="s">
        <v>282</v>
      </c>
      <c r="Z424" s="70">
        <f>IF(AQ424="5",BJ424,0)</f>
        <v>0</v>
      </c>
      <c r="AB424" s="70">
        <f>IF(AQ424="1",BH424,0)</f>
        <v>0</v>
      </c>
      <c r="AC424" s="70">
        <f>IF(AQ424="1",BI424,0)</f>
        <v>0</v>
      </c>
      <c r="AD424" s="70">
        <f>IF(AQ424="7",BH424,0)</f>
        <v>0</v>
      </c>
      <c r="AE424" s="70">
        <f>IF(AQ424="7",BI424,0)</f>
        <v>0</v>
      </c>
      <c r="AF424" s="70">
        <f>IF(AQ424="2",BH424,0)</f>
        <v>0</v>
      </c>
      <c r="AG424" s="70">
        <f>IF(AQ424="2",BI424,0)</f>
        <v>0</v>
      </c>
      <c r="AH424" s="70">
        <f>IF(AQ424="0",BJ424,0)</f>
        <v>0</v>
      </c>
      <c r="AI424" s="67" t="s">
        <v>229</v>
      </c>
      <c r="AJ424" s="70">
        <f>IF(AN424=0,K424,0)</f>
        <v>0</v>
      </c>
      <c r="AK424" s="70">
        <f>IF(AN424=15,K424,0)</f>
        <v>0</v>
      </c>
      <c r="AL424" s="70">
        <f>IF(AN424=21,K424,0)</f>
        <v>0</v>
      </c>
      <c r="AN424" s="70">
        <v>21</v>
      </c>
      <c r="AO424" s="70">
        <f>H424*0</f>
        <v>0</v>
      </c>
      <c r="AP424" s="70">
        <f>H424*(1-0)</f>
        <v>0</v>
      </c>
      <c r="AQ424" s="71" t="s">
        <v>106</v>
      </c>
      <c r="AV424" s="70">
        <f>AW424+AX424</f>
        <v>0</v>
      </c>
      <c r="AW424" s="70">
        <f>G424*AO424</f>
        <v>0</v>
      </c>
      <c r="AX424" s="70">
        <f>G424*AP424</f>
        <v>0</v>
      </c>
      <c r="AY424" s="71" t="s">
        <v>283</v>
      </c>
      <c r="AZ424" s="71" t="s">
        <v>826</v>
      </c>
      <c r="BA424" s="67" t="s">
        <v>680</v>
      </c>
      <c r="BC424" s="70">
        <f>AW424+AX424</f>
        <v>0</v>
      </c>
      <c r="BD424" s="70">
        <f>H424/(100-BE424)*100</f>
        <v>0</v>
      </c>
      <c r="BE424" s="70">
        <v>0</v>
      </c>
      <c r="BF424" s="70">
        <f>424</f>
        <v>424</v>
      </c>
      <c r="BH424" s="70">
        <f>G424*AO424</f>
        <v>0</v>
      </c>
      <c r="BI424" s="70">
        <f>G424*AP424</f>
        <v>0</v>
      </c>
      <c r="BJ424" s="70">
        <f>G424*H424</f>
        <v>0</v>
      </c>
    </row>
    <row r="425" spans="1:62" ht="15">
      <c r="A425" s="69" t="s">
        <v>828</v>
      </c>
      <c r="B425" s="69" t="s">
        <v>322</v>
      </c>
      <c r="C425" s="696" t="s">
        <v>829</v>
      </c>
      <c r="D425" s="693"/>
      <c r="E425" s="693"/>
      <c r="F425" s="69" t="s">
        <v>253</v>
      </c>
      <c r="G425" s="70">
        <v>16.7</v>
      </c>
      <c r="H425" s="580">
        <v>0</v>
      </c>
      <c r="I425" s="70">
        <f>G425*AO425</f>
        <v>0</v>
      </c>
      <c r="J425" s="70">
        <f>G425*AP425</f>
        <v>0</v>
      </c>
      <c r="K425" s="70">
        <f>G425*H425</f>
        <v>0</v>
      </c>
      <c r="L425" s="71" t="s">
        <v>120</v>
      </c>
      <c r="Z425" s="70">
        <f>IF(AQ425="5",BJ425,0)</f>
        <v>0</v>
      </c>
      <c r="AB425" s="70">
        <f>IF(AQ425="1",BH425,0)</f>
        <v>0</v>
      </c>
      <c r="AC425" s="70">
        <f>IF(AQ425="1",BI425,0)</f>
        <v>0</v>
      </c>
      <c r="AD425" s="70">
        <f>IF(AQ425="7",BH425,0)</f>
        <v>0</v>
      </c>
      <c r="AE425" s="70">
        <f>IF(AQ425="7",BI425,0)</f>
        <v>0</v>
      </c>
      <c r="AF425" s="70">
        <f>IF(AQ425="2",BH425,0)</f>
        <v>0</v>
      </c>
      <c r="AG425" s="70">
        <f>IF(AQ425="2",BI425,0)</f>
        <v>0</v>
      </c>
      <c r="AH425" s="70">
        <f>IF(AQ425="0",BJ425,0)</f>
        <v>0</v>
      </c>
      <c r="AI425" s="67" t="s">
        <v>229</v>
      </c>
      <c r="AJ425" s="70">
        <f>IF(AN425=0,K425,0)</f>
        <v>0</v>
      </c>
      <c r="AK425" s="70">
        <f>IF(AN425=15,K425,0)</f>
        <v>0</v>
      </c>
      <c r="AL425" s="70">
        <f>IF(AN425=21,K425,0)</f>
        <v>0</v>
      </c>
      <c r="AN425" s="70">
        <v>21</v>
      </c>
      <c r="AO425" s="70">
        <f>H425*0</f>
        <v>0</v>
      </c>
      <c r="AP425" s="70">
        <f>H425*(1-0)</f>
        <v>0</v>
      </c>
      <c r="AQ425" s="71" t="s">
        <v>106</v>
      </c>
      <c r="AV425" s="70">
        <f>AW425+AX425</f>
        <v>0</v>
      </c>
      <c r="AW425" s="70">
        <f>G425*AO425</f>
        <v>0</v>
      </c>
      <c r="AX425" s="70">
        <f>G425*AP425</f>
        <v>0</v>
      </c>
      <c r="AY425" s="71" t="s">
        <v>283</v>
      </c>
      <c r="AZ425" s="71" t="s">
        <v>826</v>
      </c>
      <c r="BA425" s="67" t="s">
        <v>680</v>
      </c>
      <c r="BC425" s="70">
        <f>AW425+AX425</f>
        <v>0</v>
      </c>
      <c r="BD425" s="70">
        <f>H425/(100-BE425)*100</f>
        <v>0</v>
      </c>
      <c r="BE425" s="70">
        <v>0</v>
      </c>
      <c r="BF425" s="70">
        <f>425</f>
        <v>425</v>
      </c>
      <c r="BH425" s="70">
        <f>G425*AO425</f>
        <v>0</v>
      </c>
      <c r="BI425" s="70">
        <f>G425*AP425</f>
        <v>0</v>
      </c>
      <c r="BJ425" s="70">
        <f>G425*H425</f>
        <v>0</v>
      </c>
    </row>
    <row r="426" spans="1:62" ht="15">
      <c r="A426" s="69" t="s">
        <v>830</v>
      </c>
      <c r="B426" s="69" t="s">
        <v>325</v>
      </c>
      <c r="C426" s="696" t="s">
        <v>326</v>
      </c>
      <c r="D426" s="693"/>
      <c r="E426" s="693"/>
      <c r="F426" s="69" t="s">
        <v>253</v>
      </c>
      <c r="G426" s="70">
        <v>16.7</v>
      </c>
      <c r="H426" s="580">
        <v>0</v>
      </c>
      <c r="I426" s="70">
        <f>G426*AO426</f>
        <v>0</v>
      </c>
      <c r="J426" s="70">
        <f>G426*AP426</f>
        <v>0</v>
      </c>
      <c r="K426" s="70">
        <f>G426*H426</f>
        <v>0</v>
      </c>
      <c r="L426" s="71" t="s">
        <v>282</v>
      </c>
      <c r="Z426" s="70">
        <f>IF(AQ426="5",BJ426,0)</f>
        <v>0</v>
      </c>
      <c r="AB426" s="70">
        <f>IF(AQ426="1",BH426,0)</f>
        <v>0</v>
      </c>
      <c r="AC426" s="70">
        <f>IF(AQ426="1",BI426,0)</f>
        <v>0</v>
      </c>
      <c r="AD426" s="70">
        <f>IF(AQ426="7",BH426,0)</f>
        <v>0</v>
      </c>
      <c r="AE426" s="70">
        <f>IF(AQ426="7",BI426,0)</f>
        <v>0</v>
      </c>
      <c r="AF426" s="70">
        <f>IF(AQ426="2",BH426,0)</f>
        <v>0</v>
      </c>
      <c r="AG426" s="70">
        <f>IF(AQ426="2",BI426,0)</f>
        <v>0</v>
      </c>
      <c r="AH426" s="70">
        <f>IF(AQ426="0",BJ426,0)</f>
        <v>0</v>
      </c>
      <c r="AI426" s="67" t="s">
        <v>229</v>
      </c>
      <c r="AJ426" s="70">
        <f>IF(AN426=0,K426,0)</f>
        <v>0</v>
      </c>
      <c r="AK426" s="70">
        <f>IF(AN426=15,K426,0)</f>
        <v>0</v>
      </c>
      <c r="AL426" s="70">
        <f>IF(AN426=21,K426,0)</f>
        <v>0</v>
      </c>
      <c r="AN426" s="70">
        <v>21</v>
      </c>
      <c r="AO426" s="70">
        <f>H426*0</f>
        <v>0</v>
      </c>
      <c r="AP426" s="70">
        <f>H426*(1-0)</f>
        <v>0</v>
      </c>
      <c r="AQ426" s="71" t="s">
        <v>106</v>
      </c>
      <c r="AV426" s="70">
        <f>AW426+AX426</f>
        <v>0</v>
      </c>
      <c r="AW426" s="70">
        <f>G426*AO426</f>
        <v>0</v>
      </c>
      <c r="AX426" s="70">
        <f>G426*AP426</f>
        <v>0</v>
      </c>
      <c r="AY426" s="71" t="s">
        <v>283</v>
      </c>
      <c r="AZ426" s="71" t="s">
        <v>826</v>
      </c>
      <c r="BA426" s="67" t="s">
        <v>680</v>
      </c>
      <c r="BC426" s="70">
        <f>AW426+AX426</f>
        <v>0</v>
      </c>
      <c r="BD426" s="70">
        <f>H426/(100-BE426)*100</f>
        <v>0</v>
      </c>
      <c r="BE426" s="70">
        <v>0</v>
      </c>
      <c r="BF426" s="70">
        <f>426</f>
        <v>426</v>
      </c>
      <c r="BH426" s="70">
        <f>G426*AO426</f>
        <v>0</v>
      </c>
      <c r="BI426" s="70">
        <f>G426*AP426</f>
        <v>0</v>
      </c>
      <c r="BJ426" s="70">
        <f>G426*H426</f>
        <v>0</v>
      </c>
    </row>
    <row r="427" spans="1:47" ht="15">
      <c r="A427" s="88"/>
      <c r="B427" s="89" t="s">
        <v>314</v>
      </c>
      <c r="C427" s="710" t="s">
        <v>327</v>
      </c>
      <c r="D427" s="711"/>
      <c r="E427" s="711"/>
      <c r="F427" s="88" t="s">
        <v>70</v>
      </c>
      <c r="G427" s="88" t="s">
        <v>70</v>
      </c>
      <c r="H427" s="88" t="s">
        <v>70</v>
      </c>
      <c r="I427" s="90">
        <f>SUM(I428:I430)</f>
        <v>0</v>
      </c>
      <c r="J427" s="90">
        <f>SUM(J428:J430)</f>
        <v>0</v>
      </c>
      <c r="K427" s="90">
        <f>SUM(K428:K430)</f>
        <v>0</v>
      </c>
      <c r="L427" s="91"/>
      <c r="AI427" s="67" t="s">
        <v>229</v>
      </c>
      <c r="AS427" s="68">
        <f>SUM(AJ428:AJ430)</f>
        <v>0</v>
      </c>
      <c r="AT427" s="68">
        <f>SUM(AK428:AK430)</f>
        <v>0</v>
      </c>
      <c r="AU427" s="68">
        <f>SUM(AL428:AL430)</f>
        <v>0</v>
      </c>
    </row>
    <row r="428" spans="1:62" ht="15">
      <c r="A428" s="69" t="s">
        <v>831</v>
      </c>
      <c r="B428" s="69" t="s">
        <v>329</v>
      </c>
      <c r="C428" s="696" t="s">
        <v>330</v>
      </c>
      <c r="D428" s="693"/>
      <c r="E428" s="693"/>
      <c r="F428" s="69" t="s">
        <v>253</v>
      </c>
      <c r="G428" s="70">
        <v>2.4</v>
      </c>
      <c r="H428" s="580">
        <v>0</v>
      </c>
      <c r="I428" s="70">
        <f>G428*AO428</f>
        <v>0</v>
      </c>
      <c r="J428" s="70">
        <f>G428*AP428</f>
        <v>0</v>
      </c>
      <c r="K428" s="70">
        <f>G428*H428</f>
        <v>0</v>
      </c>
      <c r="L428" s="71" t="s">
        <v>282</v>
      </c>
      <c r="Z428" s="70">
        <f>IF(AQ428="5",BJ428,0)</f>
        <v>0</v>
      </c>
      <c r="AB428" s="70">
        <f>IF(AQ428="1",BH428,0)</f>
        <v>0</v>
      </c>
      <c r="AC428" s="70">
        <f>IF(AQ428="1",BI428,0)</f>
        <v>0</v>
      </c>
      <c r="AD428" s="70">
        <f>IF(AQ428="7",BH428,0)</f>
        <v>0</v>
      </c>
      <c r="AE428" s="70">
        <f>IF(AQ428="7",BI428,0)</f>
        <v>0</v>
      </c>
      <c r="AF428" s="70">
        <f>IF(AQ428="2",BH428,0)</f>
        <v>0</v>
      </c>
      <c r="AG428" s="70">
        <f>IF(AQ428="2",BI428,0)</f>
        <v>0</v>
      </c>
      <c r="AH428" s="70">
        <f>IF(AQ428="0",BJ428,0)</f>
        <v>0</v>
      </c>
      <c r="AI428" s="67" t="s">
        <v>229</v>
      </c>
      <c r="AJ428" s="70">
        <f>IF(AN428=0,K428,0)</f>
        <v>0</v>
      </c>
      <c r="AK428" s="70">
        <f>IF(AN428=15,K428,0)</f>
        <v>0</v>
      </c>
      <c r="AL428" s="70">
        <f>IF(AN428=21,K428,0)</f>
        <v>0</v>
      </c>
      <c r="AN428" s="70">
        <v>21</v>
      </c>
      <c r="AO428" s="70">
        <f>H428*0</f>
        <v>0</v>
      </c>
      <c r="AP428" s="70">
        <f>H428*(1-0)</f>
        <v>0</v>
      </c>
      <c r="AQ428" s="71" t="s">
        <v>106</v>
      </c>
      <c r="AV428" s="70">
        <f>AW428+AX428</f>
        <v>0</v>
      </c>
      <c r="AW428" s="70">
        <f>G428*AO428</f>
        <v>0</v>
      </c>
      <c r="AX428" s="70">
        <f>G428*AP428</f>
        <v>0</v>
      </c>
      <c r="AY428" s="71" t="s">
        <v>331</v>
      </c>
      <c r="AZ428" s="71" t="s">
        <v>832</v>
      </c>
      <c r="BA428" s="67" t="s">
        <v>680</v>
      </c>
      <c r="BC428" s="70">
        <f>AW428+AX428</f>
        <v>0</v>
      </c>
      <c r="BD428" s="70">
        <f>H428/(100-BE428)*100</f>
        <v>0</v>
      </c>
      <c r="BE428" s="70">
        <v>0</v>
      </c>
      <c r="BF428" s="70">
        <f>428</f>
        <v>428</v>
      </c>
      <c r="BH428" s="70">
        <f>G428*AO428</f>
        <v>0</v>
      </c>
      <c r="BI428" s="70">
        <f>G428*AP428</f>
        <v>0</v>
      </c>
      <c r="BJ428" s="70">
        <f>G428*H428</f>
        <v>0</v>
      </c>
    </row>
    <row r="429" spans="2:12" ht="12.75" customHeight="1">
      <c r="B429" s="75" t="s">
        <v>67</v>
      </c>
      <c r="C429" s="725" t="s">
        <v>833</v>
      </c>
      <c r="D429" s="726"/>
      <c r="E429" s="726"/>
      <c r="F429" s="726"/>
      <c r="G429" s="726"/>
      <c r="H429" s="726"/>
      <c r="I429" s="726"/>
      <c r="J429" s="726"/>
      <c r="K429" s="726"/>
      <c r="L429" s="726"/>
    </row>
    <row r="430" spans="1:62" ht="15">
      <c r="A430" s="69" t="s">
        <v>834</v>
      </c>
      <c r="B430" s="69" t="s">
        <v>335</v>
      </c>
      <c r="C430" s="696" t="s">
        <v>336</v>
      </c>
      <c r="D430" s="693"/>
      <c r="E430" s="693"/>
      <c r="F430" s="69" t="s">
        <v>337</v>
      </c>
      <c r="G430" s="70">
        <v>90</v>
      </c>
      <c r="H430" s="580">
        <v>0</v>
      </c>
      <c r="I430" s="70">
        <f>G430*AO430</f>
        <v>0</v>
      </c>
      <c r="J430" s="70">
        <f>G430*AP430</f>
        <v>0</v>
      </c>
      <c r="K430" s="70">
        <f>G430*H430</f>
        <v>0</v>
      </c>
      <c r="L430" s="71"/>
      <c r="Z430" s="70">
        <f>IF(AQ430="5",BJ430,0)</f>
        <v>0</v>
      </c>
      <c r="AB430" s="70">
        <f>IF(AQ430="1",BH430,0)</f>
        <v>0</v>
      </c>
      <c r="AC430" s="70">
        <f>IF(AQ430="1",BI430,0)</f>
        <v>0</v>
      </c>
      <c r="AD430" s="70">
        <f>IF(AQ430="7",BH430,0)</f>
        <v>0</v>
      </c>
      <c r="AE430" s="70">
        <f>IF(AQ430="7",BI430,0)</f>
        <v>0</v>
      </c>
      <c r="AF430" s="70">
        <f>IF(AQ430="2",BH430,0)</f>
        <v>0</v>
      </c>
      <c r="AG430" s="70">
        <f>IF(AQ430="2",BI430,0)</f>
        <v>0</v>
      </c>
      <c r="AH430" s="70">
        <f>IF(AQ430="0",BJ430,0)</f>
        <v>0</v>
      </c>
      <c r="AI430" s="67" t="s">
        <v>229</v>
      </c>
      <c r="AJ430" s="70">
        <f>IF(AN430=0,K430,0)</f>
        <v>0</v>
      </c>
      <c r="AK430" s="70">
        <f>IF(AN430=15,K430,0)</f>
        <v>0</v>
      </c>
      <c r="AL430" s="70">
        <f>IF(AN430=21,K430,0)</f>
        <v>0</v>
      </c>
      <c r="AN430" s="70">
        <v>21</v>
      </c>
      <c r="AO430" s="70">
        <f>H430*0</f>
        <v>0</v>
      </c>
      <c r="AP430" s="70">
        <f>H430*(1-0)</f>
        <v>0</v>
      </c>
      <c r="AQ430" s="71" t="s">
        <v>124</v>
      </c>
      <c r="AV430" s="70">
        <f>AW430+AX430</f>
        <v>0</v>
      </c>
      <c r="AW430" s="70">
        <f>G430*AO430</f>
        <v>0</v>
      </c>
      <c r="AX430" s="70">
        <f>G430*AP430</f>
        <v>0</v>
      </c>
      <c r="AY430" s="71" t="s">
        <v>331</v>
      </c>
      <c r="AZ430" s="71" t="s">
        <v>832</v>
      </c>
      <c r="BA430" s="67" t="s">
        <v>680</v>
      </c>
      <c r="BC430" s="70">
        <f>AW430+AX430</f>
        <v>0</v>
      </c>
      <c r="BD430" s="70">
        <f>H430/(100-BE430)*100</f>
        <v>0</v>
      </c>
      <c r="BE430" s="70">
        <v>0</v>
      </c>
      <c r="BF430" s="70">
        <f>430</f>
        <v>430</v>
      </c>
      <c r="BH430" s="70">
        <f>G430*AO430</f>
        <v>0</v>
      </c>
      <c r="BI430" s="70">
        <f>G430*AP430</f>
        <v>0</v>
      </c>
      <c r="BJ430" s="70">
        <f>G430*H430</f>
        <v>0</v>
      </c>
    </row>
    <row r="431" spans="2:12" ht="38.7" customHeight="1">
      <c r="B431" s="75" t="s">
        <v>67</v>
      </c>
      <c r="C431" s="725" t="s">
        <v>835</v>
      </c>
      <c r="D431" s="726"/>
      <c r="E431" s="726"/>
      <c r="F431" s="726"/>
      <c r="G431" s="726"/>
      <c r="H431" s="726"/>
      <c r="I431" s="726"/>
      <c r="J431" s="726"/>
      <c r="K431" s="726"/>
      <c r="L431" s="726"/>
    </row>
    <row r="432" spans="1:47" ht="15">
      <c r="A432" s="88"/>
      <c r="B432" s="89" t="s">
        <v>206</v>
      </c>
      <c r="C432" s="710" t="s">
        <v>449</v>
      </c>
      <c r="D432" s="711"/>
      <c r="E432" s="711"/>
      <c r="F432" s="88" t="s">
        <v>70</v>
      </c>
      <c r="G432" s="88" t="s">
        <v>70</v>
      </c>
      <c r="H432" s="88" t="s">
        <v>70</v>
      </c>
      <c r="I432" s="90">
        <f>SUM(I433:I433)</f>
        <v>0</v>
      </c>
      <c r="J432" s="90">
        <f>SUM(J433:J433)</f>
        <v>0</v>
      </c>
      <c r="K432" s="90">
        <f>SUM(K433:K433)</f>
        <v>0</v>
      </c>
      <c r="L432" s="91"/>
      <c r="AI432" s="67" t="s">
        <v>229</v>
      </c>
      <c r="AS432" s="68">
        <f>SUM(AJ433:AJ433)</f>
        <v>0</v>
      </c>
      <c r="AT432" s="68">
        <f>SUM(AK433:AK433)</f>
        <v>0</v>
      </c>
      <c r="AU432" s="68">
        <f>SUM(AL433:AL433)</f>
        <v>0</v>
      </c>
    </row>
    <row r="433" spans="1:62" ht="15">
      <c r="A433" s="69" t="s">
        <v>836</v>
      </c>
      <c r="B433" s="69" t="s">
        <v>837</v>
      </c>
      <c r="C433" s="696" t="s">
        <v>838</v>
      </c>
      <c r="D433" s="693"/>
      <c r="E433" s="693"/>
      <c r="F433" s="69" t="s">
        <v>253</v>
      </c>
      <c r="G433" s="70">
        <v>9.5</v>
      </c>
      <c r="H433" s="580">
        <v>0</v>
      </c>
      <c r="I433" s="70">
        <f>G433*AO433</f>
        <v>0</v>
      </c>
      <c r="J433" s="70">
        <f>G433*AP433</f>
        <v>0</v>
      </c>
      <c r="K433" s="70">
        <f>G433*H433</f>
        <v>0</v>
      </c>
      <c r="L433" s="71" t="s">
        <v>120</v>
      </c>
      <c r="Z433" s="70">
        <f>IF(AQ433="5",BJ433,0)</f>
        <v>0</v>
      </c>
      <c r="AB433" s="70">
        <f>IF(AQ433="1",BH433,0)</f>
        <v>0</v>
      </c>
      <c r="AC433" s="70">
        <f>IF(AQ433="1",BI433,0)</f>
        <v>0</v>
      </c>
      <c r="AD433" s="70">
        <f>IF(AQ433="7",BH433,0)</f>
        <v>0</v>
      </c>
      <c r="AE433" s="70">
        <f>IF(AQ433="7",BI433,0)</f>
        <v>0</v>
      </c>
      <c r="AF433" s="70">
        <f>IF(AQ433="2",BH433,0)</f>
        <v>0</v>
      </c>
      <c r="AG433" s="70">
        <f>IF(AQ433="2",BI433,0)</f>
        <v>0</v>
      </c>
      <c r="AH433" s="70">
        <f>IF(AQ433="0",BJ433,0)</f>
        <v>0</v>
      </c>
      <c r="AI433" s="67" t="s">
        <v>229</v>
      </c>
      <c r="AJ433" s="70">
        <f>IF(AN433=0,K433,0)</f>
        <v>0</v>
      </c>
      <c r="AK433" s="70">
        <f>IF(AN433=15,K433,0)</f>
        <v>0</v>
      </c>
      <c r="AL433" s="70">
        <f>IF(AN433=21,K433,0)</f>
        <v>0</v>
      </c>
      <c r="AN433" s="70">
        <v>21</v>
      </c>
      <c r="AO433" s="70">
        <f>H433*0.502340634829091</f>
        <v>0</v>
      </c>
      <c r="AP433" s="70">
        <f>H433*(1-0.502340634829091)</f>
        <v>0</v>
      </c>
      <c r="AQ433" s="71" t="s">
        <v>106</v>
      </c>
      <c r="AV433" s="70">
        <f>AW433+AX433</f>
        <v>0</v>
      </c>
      <c r="AW433" s="70">
        <f>G433*AO433</f>
        <v>0</v>
      </c>
      <c r="AX433" s="70">
        <f>G433*AP433</f>
        <v>0</v>
      </c>
      <c r="AY433" s="71" t="s">
        <v>453</v>
      </c>
      <c r="AZ433" s="71" t="s">
        <v>839</v>
      </c>
      <c r="BA433" s="67" t="s">
        <v>680</v>
      </c>
      <c r="BC433" s="70">
        <f>AW433+AX433</f>
        <v>0</v>
      </c>
      <c r="BD433" s="70">
        <f>H433/(100-BE433)*100</f>
        <v>0</v>
      </c>
      <c r="BE433" s="70">
        <v>0</v>
      </c>
      <c r="BF433" s="70">
        <f>433</f>
        <v>433</v>
      </c>
      <c r="BH433" s="70">
        <f>G433*AO433</f>
        <v>0</v>
      </c>
      <c r="BI433" s="70">
        <f>G433*AP433</f>
        <v>0</v>
      </c>
      <c r="BJ433" s="70">
        <f>G433*H433</f>
        <v>0</v>
      </c>
    </row>
    <row r="434" spans="1:47" ht="15">
      <c r="A434" s="88"/>
      <c r="B434" s="89" t="s">
        <v>226</v>
      </c>
      <c r="C434" s="710" t="s">
        <v>469</v>
      </c>
      <c r="D434" s="711"/>
      <c r="E434" s="711"/>
      <c r="F434" s="88" t="s">
        <v>70</v>
      </c>
      <c r="G434" s="88" t="s">
        <v>70</v>
      </c>
      <c r="H434" s="88" t="s">
        <v>70</v>
      </c>
      <c r="I434" s="90">
        <f>SUM(I435:I435)</f>
        <v>0</v>
      </c>
      <c r="J434" s="90">
        <f>SUM(J435:J435)</f>
        <v>0</v>
      </c>
      <c r="K434" s="90">
        <f>SUM(K435:K435)</f>
        <v>0</v>
      </c>
      <c r="L434" s="91"/>
      <c r="AI434" s="67" t="s">
        <v>229</v>
      </c>
      <c r="AS434" s="68">
        <f>SUM(AJ435:AJ435)</f>
        <v>0</v>
      </c>
      <c r="AT434" s="68">
        <f>SUM(AK435:AK435)</f>
        <v>0</v>
      </c>
      <c r="AU434" s="68">
        <f>SUM(AL435:AL435)</f>
        <v>0</v>
      </c>
    </row>
    <row r="435" spans="1:62" ht="15">
      <c r="A435" s="69" t="s">
        <v>840</v>
      </c>
      <c r="B435" s="69" t="s">
        <v>396</v>
      </c>
      <c r="C435" s="696" t="s">
        <v>841</v>
      </c>
      <c r="D435" s="693"/>
      <c r="E435" s="693"/>
      <c r="F435" s="69" t="s">
        <v>109</v>
      </c>
      <c r="G435" s="70">
        <v>38</v>
      </c>
      <c r="H435" s="580">
        <v>0</v>
      </c>
      <c r="I435" s="70">
        <f>G435*AO435</f>
        <v>0</v>
      </c>
      <c r="J435" s="70">
        <f>G435*AP435</f>
        <v>0</v>
      </c>
      <c r="K435" s="70">
        <f>G435*H435</f>
        <v>0</v>
      </c>
      <c r="L435" s="71" t="s">
        <v>120</v>
      </c>
      <c r="Z435" s="70">
        <f>IF(AQ435="5",BJ435,0)</f>
        <v>0</v>
      </c>
      <c r="AB435" s="70">
        <f>IF(AQ435="1",BH435,0)</f>
        <v>0</v>
      </c>
      <c r="AC435" s="70">
        <f>IF(AQ435="1",BI435,0)</f>
        <v>0</v>
      </c>
      <c r="AD435" s="70">
        <f>IF(AQ435="7",BH435,0)</f>
        <v>0</v>
      </c>
      <c r="AE435" s="70">
        <f>IF(AQ435="7",BI435,0)</f>
        <v>0</v>
      </c>
      <c r="AF435" s="70">
        <f>IF(AQ435="2",BH435,0)</f>
        <v>0</v>
      </c>
      <c r="AG435" s="70">
        <f>IF(AQ435="2",BI435,0)</f>
        <v>0</v>
      </c>
      <c r="AH435" s="70">
        <f>IF(AQ435="0",BJ435,0)</f>
        <v>0</v>
      </c>
      <c r="AI435" s="67" t="s">
        <v>229</v>
      </c>
      <c r="AJ435" s="70">
        <f>IF(AN435=0,K435,0)</f>
        <v>0</v>
      </c>
      <c r="AK435" s="70">
        <f>IF(AN435=15,K435,0)</f>
        <v>0</v>
      </c>
      <c r="AL435" s="70">
        <f>IF(AN435=21,K435,0)</f>
        <v>0</v>
      </c>
      <c r="AN435" s="70">
        <v>21</v>
      </c>
      <c r="AO435" s="70">
        <f>H435*0.460487179487179</f>
        <v>0</v>
      </c>
      <c r="AP435" s="70">
        <f>H435*(1-0.460487179487179)</f>
        <v>0</v>
      </c>
      <c r="AQ435" s="71" t="s">
        <v>114</v>
      </c>
      <c r="AV435" s="70">
        <f>AW435+AX435</f>
        <v>0</v>
      </c>
      <c r="AW435" s="70">
        <f>G435*AO435</f>
        <v>0</v>
      </c>
      <c r="AX435" s="70">
        <f>G435*AP435</f>
        <v>0</v>
      </c>
      <c r="AY435" s="71" t="s">
        <v>473</v>
      </c>
      <c r="AZ435" s="71" t="s">
        <v>842</v>
      </c>
      <c r="BA435" s="67" t="s">
        <v>680</v>
      </c>
      <c r="BC435" s="70">
        <f>AW435+AX435</f>
        <v>0</v>
      </c>
      <c r="BD435" s="70">
        <f>H435/(100-BE435)*100</f>
        <v>0</v>
      </c>
      <c r="BE435" s="70">
        <v>0</v>
      </c>
      <c r="BF435" s="70">
        <f>435</f>
        <v>435</v>
      </c>
      <c r="BH435" s="70">
        <f>G435*AO435</f>
        <v>0</v>
      </c>
      <c r="BI435" s="70">
        <f>G435*AP435</f>
        <v>0</v>
      </c>
      <c r="BJ435" s="70">
        <f>G435*H435</f>
        <v>0</v>
      </c>
    </row>
    <row r="436" spans="2:12" ht="12.75" customHeight="1">
      <c r="B436" s="75" t="s">
        <v>67</v>
      </c>
      <c r="C436" s="725" t="s">
        <v>843</v>
      </c>
      <c r="D436" s="726"/>
      <c r="E436" s="726"/>
      <c r="F436" s="726"/>
      <c r="G436" s="726"/>
      <c r="H436" s="726"/>
      <c r="I436" s="726"/>
      <c r="J436" s="726"/>
      <c r="K436" s="726"/>
      <c r="L436" s="726"/>
    </row>
    <row r="437" spans="1:47" ht="15">
      <c r="A437" s="88"/>
      <c r="B437" s="89" t="s">
        <v>345</v>
      </c>
      <c r="C437" s="710" t="s">
        <v>346</v>
      </c>
      <c r="D437" s="711"/>
      <c r="E437" s="711"/>
      <c r="F437" s="88" t="s">
        <v>70</v>
      </c>
      <c r="G437" s="88" t="s">
        <v>70</v>
      </c>
      <c r="H437" s="88" t="s">
        <v>70</v>
      </c>
      <c r="I437" s="90">
        <f>SUM(I438:I438)</f>
        <v>0</v>
      </c>
      <c r="J437" s="90">
        <f>SUM(J438:J438)</f>
        <v>0</v>
      </c>
      <c r="K437" s="90">
        <f>SUM(K438:K438)</f>
        <v>0</v>
      </c>
      <c r="L437" s="91"/>
      <c r="AI437" s="67" t="s">
        <v>229</v>
      </c>
      <c r="AS437" s="68">
        <f>SUM(AJ438:AJ438)</f>
        <v>0</v>
      </c>
      <c r="AT437" s="68">
        <f>SUM(AK438:AK438)</f>
        <v>0</v>
      </c>
      <c r="AU437" s="68">
        <f>SUM(AL438:AL438)</f>
        <v>0</v>
      </c>
    </row>
    <row r="438" spans="1:62" ht="15">
      <c r="A438" s="69" t="s">
        <v>844</v>
      </c>
      <c r="B438" s="69" t="s">
        <v>348</v>
      </c>
      <c r="C438" s="696" t="s">
        <v>349</v>
      </c>
      <c r="D438" s="693"/>
      <c r="E438" s="693"/>
      <c r="F438" s="69" t="s">
        <v>132</v>
      </c>
      <c r="G438" s="70">
        <v>67.4</v>
      </c>
      <c r="H438" s="580">
        <v>0</v>
      </c>
      <c r="I438" s="70">
        <f>G438*AO438</f>
        <v>0</v>
      </c>
      <c r="J438" s="70">
        <f>G438*AP438</f>
        <v>0</v>
      </c>
      <c r="K438" s="70">
        <f>G438*H438</f>
        <v>0</v>
      </c>
      <c r="L438" s="71" t="s">
        <v>282</v>
      </c>
      <c r="Z438" s="70">
        <f>IF(AQ438="5",BJ438,0)</f>
        <v>0</v>
      </c>
      <c r="AB438" s="70">
        <f>IF(AQ438="1",BH438,0)</f>
        <v>0</v>
      </c>
      <c r="AC438" s="70">
        <f>IF(AQ438="1",BI438,0)</f>
        <v>0</v>
      </c>
      <c r="AD438" s="70">
        <f>IF(AQ438="7",BH438,0)</f>
        <v>0</v>
      </c>
      <c r="AE438" s="70">
        <f>IF(AQ438="7",BI438,0)</f>
        <v>0</v>
      </c>
      <c r="AF438" s="70">
        <f>IF(AQ438="2",BH438,0)</f>
        <v>0</v>
      </c>
      <c r="AG438" s="70">
        <f>IF(AQ438="2",BI438,0)</f>
        <v>0</v>
      </c>
      <c r="AH438" s="70">
        <f>IF(AQ438="0",BJ438,0)</f>
        <v>0</v>
      </c>
      <c r="AI438" s="67" t="s">
        <v>229</v>
      </c>
      <c r="AJ438" s="70">
        <f>IF(AN438=0,K438,0)</f>
        <v>0</v>
      </c>
      <c r="AK438" s="70">
        <f>IF(AN438=15,K438,0)</f>
        <v>0</v>
      </c>
      <c r="AL438" s="70">
        <f>IF(AN438=21,K438,0)</f>
        <v>0</v>
      </c>
      <c r="AN438" s="70">
        <v>21</v>
      </c>
      <c r="AO438" s="70">
        <f>H438*0</f>
        <v>0</v>
      </c>
      <c r="AP438" s="70">
        <f>H438*(1-0)</f>
        <v>0</v>
      </c>
      <c r="AQ438" s="71" t="s">
        <v>124</v>
      </c>
      <c r="AV438" s="70">
        <f>AW438+AX438</f>
        <v>0</v>
      </c>
      <c r="AW438" s="70">
        <f>G438*AO438</f>
        <v>0</v>
      </c>
      <c r="AX438" s="70">
        <f>G438*AP438</f>
        <v>0</v>
      </c>
      <c r="AY438" s="71" t="s">
        <v>350</v>
      </c>
      <c r="AZ438" s="71" t="s">
        <v>845</v>
      </c>
      <c r="BA438" s="67" t="s">
        <v>680</v>
      </c>
      <c r="BC438" s="70">
        <f>AW438+AX438</f>
        <v>0</v>
      </c>
      <c r="BD438" s="70">
        <f>H438/(100-BE438)*100</f>
        <v>0</v>
      </c>
      <c r="BE438" s="70">
        <v>0</v>
      </c>
      <c r="BF438" s="70">
        <f>438</f>
        <v>438</v>
      </c>
      <c r="BH438" s="70">
        <f>G438*AO438</f>
        <v>0</v>
      </c>
      <c r="BI438" s="70">
        <f>G438*AP438</f>
        <v>0</v>
      </c>
      <c r="BJ438" s="70">
        <f>G438*H438</f>
        <v>0</v>
      </c>
    </row>
    <row r="439" spans="1:47" ht="15">
      <c r="A439" s="88"/>
      <c r="B439" s="89"/>
      <c r="C439" s="710" t="s">
        <v>52</v>
      </c>
      <c r="D439" s="711"/>
      <c r="E439" s="711"/>
      <c r="F439" s="88" t="s">
        <v>70</v>
      </c>
      <c r="G439" s="88" t="s">
        <v>70</v>
      </c>
      <c r="H439" s="88" t="s">
        <v>70</v>
      </c>
      <c r="I439" s="90">
        <f>SUM(I440:I445)</f>
        <v>0</v>
      </c>
      <c r="J439" s="90">
        <f>SUM(J440:J445)</f>
        <v>0</v>
      </c>
      <c r="K439" s="90">
        <f>SUM(K440:K445)</f>
        <v>0</v>
      </c>
      <c r="L439" s="91"/>
      <c r="AI439" s="67" t="s">
        <v>229</v>
      </c>
      <c r="AS439" s="68">
        <f>SUM(AJ440:AJ445)</f>
        <v>0</v>
      </c>
      <c r="AT439" s="68">
        <f>SUM(AK440:AK445)</f>
        <v>0</v>
      </c>
      <c r="AU439" s="68">
        <f>SUM(AL440:AL445)</f>
        <v>0</v>
      </c>
    </row>
    <row r="440" spans="1:62" ht="15">
      <c r="A440" s="69" t="s">
        <v>846</v>
      </c>
      <c r="B440" s="69" t="s">
        <v>353</v>
      </c>
      <c r="C440" s="696" t="s">
        <v>847</v>
      </c>
      <c r="D440" s="693"/>
      <c r="E440" s="693"/>
      <c r="F440" s="69" t="s">
        <v>132</v>
      </c>
      <c r="G440" s="70">
        <v>4</v>
      </c>
      <c r="H440" s="580">
        <v>0</v>
      </c>
      <c r="I440" s="70">
        <f>G440*AO440</f>
        <v>0</v>
      </c>
      <c r="J440" s="70">
        <f>G440*AP440</f>
        <v>0</v>
      </c>
      <c r="K440" s="70">
        <f>G440*H440</f>
        <v>0</v>
      </c>
      <c r="L440" s="71" t="s">
        <v>282</v>
      </c>
      <c r="Z440" s="70">
        <f>IF(AQ440="5",BJ440,0)</f>
        <v>0</v>
      </c>
      <c r="AB440" s="70">
        <f>IF(AQ440="1",BH440,0)</f>
        <v>0</v>
      </c>
      <c r="AC440" s="70">
        <f>IF(AQ440="1",BI440,0)</f>
        <v>0</v>
      </c>
      <c r="AD440" s="70">
        <f>IF(AQ440="7",BH440,0)</f>
        <v>0</v>
      </c>
      <c r="AE440" s="70">
        <f>IF(AQ440="7",BI440,0)</f>
        <v>0</v>
      </c>
      <c r="AF440" s="70">
        <f>IF(AQ440="2",BH440,0)</f>
        <v>0</v>
      </c>
      <c r="AG440" s="70">
        <f>IF(AQ440="2",BI440,0)</f>
        <v>0</v>
      </c>
      <c r="AH440" s="70">
        <f>IF(AQ440="0",BJ440,0)</f>
        <v>0</v>
      </c>
      <c r="AI440" s="67" t="s">
        <v>229</v>
      </c>
      <c r="AJ440" s="70">
        <f>IF(AN440=0,K440,0)</f>
        <v>0</v>
      </c>
      <c r="AK440" s="70">
        <f>IF(AN440=15,K440,0)</f>
        <v>0</v>
      </c>
      <c r="AL440" s="70">
        <f>IF(AN440=21,K440,0)</f>
        <v>0</v>
      </c>
      <c r="AN440" s="70">
        <v>21</v>
      </c>
      <c r="AO440" s="70">
        <f>H440*1</f>
        <v>0</v>
      </c>
      <c r="AP440" s="70">
        <f>H440*(1-1)</f>
        <v>0</v>
      </c>
      <c r="AQ440" s="71" t="s">
        <v>355</v>
      </c>
      <c r="AV440" s="70">
        <f>AW440+AX440</f>
        <v>0</v>
      </c>
      <c r="AW440" s="70">
        <f>G440*AO440</f>
        <v>0</v>
      </c>
      <c r="AX440" s="70">
        <f>G440*AP440</f>
        <v>0</v>
      </c>
      <c r="AY440" s="71" t="s">
        <v>356</v>
      </c>
      <c r="AZ440" s="71" t="s">
        <v>848</v>
      </c>
      <c r="BA440" s="67" t="s">
        <v>680</v>
      </c>
      <c r="BC440" s="70">
        <f>AW440+AX440</f>
        <v>0</v>
      </c>
      <c r="BD440" s="70">
        <f>H440/(100-BE440)*100</f>
        <v>0</v>
      </c>
      <c r="BE440" s="70">
        <v>0</v>
      </c>
      <c r="BF440" s="70">
        <f>440</f>
        <v>440</v>
      </c>
      <c r="BH440" s="70">
        <f>G440*AO440</f>
        <v>0</v>
      </c>
      <c r="BI440" s="70">
        <f>G440*AP440</f>
        <v>0</v>
      </c>
      <c r="BJ440" s="70">
        <f>G440*H440</f>
        <v>0</v>
      </c>
    </row>
    <row r="441" spans="2:12" ht="12.75" customHeight="1">
      <c r="B441" s="75" t="s">
        <v>67</v>
      </c>
      <c r="C441" s="725" t="s">
        <v>358</v>
      </c>
      <c r="D441" s="726"/>
      <c r="E441" s="726"/>
      <c r="F441" s="726"/>
      <c r="G441" s="726"/>
      <c r="H441" s="726"/>
      <c r="I441" s="726"/>
      <c r="J441" s="726"/>
      <c r="K441" s="726"/>
      <c r="L441" s="726"/>
    </row>
    <row r="442" spans="1:62" ht="15">
      <c r="A442" s="69" t="s">
        <v>849</v>
      </c>
      <c r="B442" s="69" t="s">
        <v>370</v>
      </c>
      <c r="C442" s="696" t="s">
        <v>850</v>
      </c>
      <c r="D442" s="693"/>
      <c r="E442" s="693"/>
      <c r="F442" s="69" t="s">
        <v>109</v>
      </c>
      <c r="G442" s="70">
        <v>40</v>
      </c>
      <c r="H442" s="580">
        <v>0</v>
      </c>
      <c r="I442" s="70">
        <f>G442*AO442</f>
        <v>0</v>
      </c>
      <c r="J442" s="70">
        <f>G442*AP442</f>
        <v>0</v>
      </c>
      <c r="K442" s="70">
        <f>G442*H442</f>
        <v>0</v>
      </c>
      <c r="L442" s="71" t="s">
        <v>120</v>
      </c>
      <c r="Z442" s="70">
        <f>IF(AQ442="5",BJ442,0)</f>
        <v>0</v>
      </c>
      <c r="AB442" s="70">
        <f>IF(AQ442="1",BH442,0)</f>
        <v>0</v>
      </c>
      <c r="AC442" s="70">
        <f>IF(AQ442="1",BI442,0)</f>
        <v>0</v>
      </c>
      <c r="AD442" s="70">
        <f>IF(AQ442="7",BH442,0)</f>
        <v>0</v>
      </c>
      <c r="AE442" s="70">
        <f>IF(AQ442="7",BI442,0)</f>
        <v>0</v>
      </c>
      <c r="AF442" s="70">
        <f>IF(AQ442="2",BH442,0)</f>
        <v>0</v>
      </c>
      <c r="AG442" s="70">
        <f>IF(AQ442="2",BI442,0)</f>
        <v>0</v>
      </c>
      <c r="AH442" s="70">
        <f>IF(AQ442="0",BJ442,0)</f>
        <v>0</v>
      </c>
      <c r="AI442" s="67" t="s">
        <v>229</v>
      </c>
      <c r="AJ442" s="70">
        <f>IF(AN442=0,K442,0)</f>
        <v>0</v>
      </c>
      <c r="AK442" s="70">
        <f>IF(AN442=15,K442,0)</f>
        <v>0</v>
      </c>
      <c r="AL442" s="70">
        <f>IF(AN442=21,K442,0)</f>
        <v>0</v>
      </c>
      <c r="AN442" s="70">
        <v>21</v>
      </c>
      <c r="AO442" s="70">
        <f>H442*1</f>
        <v>0</v>
      </c>
      <c r="AP442" s="70">
        <f>H442*(1-1)</f>
        <v>0</v>
      </c>
      <c r="AQ442" s="71" t="s">
        <v>355</v>
      </c>
      <c r="AV442" s="70">
        <f>AW442+AX442</f>
        <v>0</v>
      </c>
      <c r="AW442" s="70">
        <f>G442*AO442</f>
        <v>0</v>
      </c>
      <c r="AX442" s="70">
        <f>G442*AP442</f>
        <v>0</v>
      </c>
      <c r="AY442" s="71" t="s">
        <v>356</v>
      </c>
      <c r="AZ442" s="71" t="s">
        <v>848</v>
      </c>
      <c r="BA442" s="67" t="s">
        <v>680</v>
      </c>
      <c r="BC442" s="70">
        <f>AW442+AX442</f>
        <v>0</v>
      </c>
      <c r="BD442" s="70">
        <f>H442/(100-BE442)*100</f>
        <v>0</v>
      </c>
      <c r="BE442" s="70">
        <v>0</v>
      </c>
      <c r="BF442" s="70">
        <f>442</f>
        <v>442</v>
      </c>
      <c r="BH442" s="70">
        <f>G442*AO442</f>
        <v>0</v>
      </c>
      <c r="BI442" s="70">
        <f>G442*AP442</f>
        <v>0</v>
      </c>
      <c r="BJ442" s="70">
        <f>G442*H442</f>
        <v>0</v>
      </c>
    </row>
    <row r="443" spans="2:12" ht="12.75" customHeight="1">
      <c r="B443" s="75" t="s">
        <v>67</v>
      </c>
      <c r="C443" s="725" t="s">
        <v>593</v>
      </c>
      <c r="D443" s="726"/>
      <c r="E443" s="726"/>
      <c r="F443" s="726"/>
      <c r="G443" s="726"/>
      <c r="H443" s="726"/>
      <c r="I443" s="726"/>
      <c r="J443" s="726"/>
      <c r="K443" s="726"/>
      <c r="L443" s="726"/>
    </row>
    <row r="444" spans="1:62" ht="15">
      <c r="A444" s="69" t="s">
        <v>851</v>
      </c>
      <c r="B444" s="69" t="s">
        <v>405</v>
      </c>
      <c r="C444" s="696" t="s">
        <v>568</v>
      </c>
      <c r="D444" s="693"/>
      <c r="E444" s="693"/>
      <c r="F444" s="69" t="s">
        <v>407</v>
      </c>
      <c r="G444" s="70">
        <v>190</v>
      </c>
      <c r="H444" s="580">
        <v>0</v>
      </c>
      <c r="I444" s="70">
        <f>G444*AO444</f>
        <v>0</v>
      </c>
      <c r="J444" s="70">
        <f>G444*AP444</f>
        <v>0</v>
      </c>
      <c r="K444" s="70">
        <f>G444*H444</f>
        <v>0</v>
      </c>
      <c r="L444" s="71"/>
      <c r="Z444" s="70">
        <f>IF(AQ444="5",BJ444,0)</f>
        <v>0</v>
      </c>
      <c r="AB444" s="70">
        <f>IF(AQ444="1",BH444,0)</f>
        <v>0</v>
      </c>
      <c r="AC444" s="70">
        <f>IF(AQ444="1",BI444,0)</f>
        <v>0</v>
      </c>
      <c r="AD444" s="70">
        <f>IF(AQ444="7",BH444,0)</f>
        <v>0</v>
      </c>
      <c r="AE444" s="70">
        <f>IF(AQ444="7",BI444,0)</f>
        <v>0</v>
      </c>
      <c r="AF444" s="70">
        <f>IF(AQ444="2",BH444,0)</f>
        <v>0</v>
      </c>
      <c r="AG444" s="70">
        <f>IF(AQ444="2",BI444,0)</f>
        <v>0</v>
      </c>
      <c r="AH444" s="70">
        <f>IF(AQ444="0",BJ444,0)</f>
        <v>0</v>
      </c>
      <c r="AI444" s="67" t="s">
        <v>229</v>
      </c>
      <c r="AJ444" s="70">
        <f>IF(AN444=0,K444,0)</f>
        <v>0</v>
      </c>
      <c r="AK444" s="70">
        <f>IF(AN444=15,K444,0)</f>
        <v>0</v>
      </c>
      <c r="AL444" s="70">
        <f>IF(AN444=21,K444,0)</f>
        <v>0</v>
      </c>
      <c r="AN444" s="70">
        <v>21</v>
      </c>
      <c r="AO444" s="70">
        <f>H444*1</f>
        <v>0</v>
      </c>
      <c r="AP444" s="70">
        <f>H444*(1-1)</f>
        <v>0</v>
      </c>
      <c r="AQ444" s="71" t="s">
        <v>355</v>
      </c>
      <c r="AV444" s="70">
        <f>AW444+AX444</f>
        <v>0</v>
      </c>
      <c r="AW444" s="70">
        <f>G444*AO444</f>
        <v>0</v>
      </c>
      <c r="AX444" s="70">
        <f>G444*AP444</f>
        <v>0</v>
      </c>
      <c r="AY444" s="71" t="s">
        <v>356</v>
      </c>
      <c r="AZ444" s="71" t="s">
        <v>848</v>
      </c>
      <c r="BA444" s="67" t="s">
        <v>680</v>
      </c>
      <c r="BC444" s="70">
        <f>AW444+AX444</f>
        <v>0</v>
      </c>
      <c r="BD444" s="70">
        <f>H444/(100-BE444)*100</f>
        <v>0</v>
      </c>
      <c r="BE444" s="70">
        <v>0</v>
      </c>
      <c r="BF444" s="70">
        <f>444</f>
        <v>444</v>
      </c>
      <c r="BH444" s="70">
        <f>G444*AO444</f>
        <v>0</v>
      </c>
      <c r="BI444" s="70">
        <f>G444*AP444</f>
        <v>0</v>
      </c>
      <c r="BJ444" s="70">
        <f>G444*H444</f>
        <v>0</v>
      </c>
    </row>
    <row r="445" spans="1:62" ht="15">
      <c r="A445" s="69" t="s">
        <v>852</v>
      </c>
      <c r="B445" s="69" t="s">
        <v>412</v>
      </c>
      <c r="C445" s="696" t="s">
        <v>853</v>
      </c>
      <c r="D445" s="693"/>
      <c r="E445" s="693"/>
      <c r="F445" s="69" t="s">
        <v>407</v>
      </c>
      <c r="G445" s="70">
        <v>15.2</v>
      </c>
      <c r="H445" s="580">
        <v>0</v>
      </c>
      <c r="I445" s="70">
        <f>G445*AO445</f>
        <v>0</v>
      </c>
      <c r="J445" s="70">
        <f>G445*AP445</f>
        <v>0</v>
      </c>
      <c r="K445" s="70">
        <f>G445*H445</f>
        <v>0</v>
      </c>
      <c r="L445" s="71"/>
      <c r="Z445" s="70">
        <f>IF(AQ445="5",BJ445,0)</f>
        <v>0</v>
      </c>
      <c r="AB445" s="70">
        <f>IF(AQ445="1",BH445,0)</f>
        <v>0</v>
      </c>
      <c r="AC445" s="70">
        <f>IF(AQ445="1",BI445,0)</f>
        <v>0</v>
      </c>
      <c r="AD445" s="70">
        <f>IF(AQ445="7",BH445,0)</f>
        <v>0</v>
      </c>
      <c r="AE445" s="70">
        <f>IF(AQ445="7",BI445,0)</f>
        <v>0</v>
      </c>
      <c r="AF445" s="70">
        <f>IF(AQ445="2",BH445,0)</f>
        <v>0</v>
      </c>
      <c r="AG445" s="70">
        <f>IF(AQ445="2",BI445,0)</f>
        <v>0</v>
      </c>
      <c r="AH445" s="70">
        <f>IF(AQ445="0",BJ445,0)</f>
        <v>0</v>
      </c>
      <c r="AI445" s="67" t="s">
        <v>229</v>
      </c>
      <c r="AJ445" s="70">
        <f>IF(AN445=0,K445,0)</f>
        <v>0</v>
      </c>
      <c r="AK445" s="70">
        <f>IF(AN445=15,K445,0)</f>
        <v>0</v>
      </c>
      <c r="AL445" s="70">
        <f>IF(AN445=21,K445,0)</f>
        <v>0</v>
      </c>
      <c r="AN445" s="70">
        <v>21</v>
      </c>
      <c r="AO445" s="70">
        <f>H445*1</f>
        <v>0</v>
      </c>
      <c r="AP445" s="70">
        <f>H445*(1-1)</f>
        <v>0</v>
      </c>
      <c r="AQ445" s="71" t="s">
        <v>355</v>
      </c>
      <c r="AV445" s="70">
        <f>AW445+AX445</f>
        <v>0</v>
      </c>
      <c r="AW445" s="70">
        <f>G445*AO445</f>
        <v>0</v>
      </c>
      <c r="AX445" s="70">
        <f>G445*AP445</f>
        <v>0</v>
      </c>
      <c r="AY445" s="71" t="s">
        <v>356</v>
      </c>
      <c r="AZ445" s="71" t="s">
        <v>848</v>
      </c>
      <c r="BA445" s="67" t="s">
        <v>680</v>
      </c>
      <c r="BC445" s="70">
        <f>AW445+AX445</f>
        <v>0</v>
      </c>
      <c r="BD445" s="70">
        <f>H445/(100-BE445)*100</f>
        <v>0</v>
      </c>
      <c r="BE445" s="70">
        <v>0</v>
      </c>
      <c r="BF445" s="70">
        <f>445</f>
        <v>445</v>
      </c>
      <c r="BH445" s="70">
        <f>G445*AO445</f>
        <v>0</v>
      </c>
      <c r="BI445" s="70">
        <f>G445*AP445</f>
        <v>0</v>
      </c>
      <c r="BJ445" s="70">
        <f>G445*H445</f>
        <v>0</v>
      </c>
    </row>
    <row r="446" spans="1:12" ht="15">
      <c r="A446" s="48"/>
      <c r="B446" s="49"/>
      <c r="C446" s="727" t="s">
        <v>854</v>
      </c>
      <c r="D446" s="728"/>
      <c r="E446" s="728"/>
      <c r="F446" s="48" t="s">
        <v>70</v>
      </c>
      <c r="G446" s="48" t="s">
        <v>70</v>
      </c>
      <c r="H446" s="48" t="s">
        <v>70</v>
      </c>
      <c r="I446" s="50">
        <f>I447+I450+I452</f>
        <v>0</v>
      </c>
      <c r="J446" s="50">
        <f>J447+J450+J452</f>
        <v>0</v>
      </c>
      <c r="K446" s="50">
        <f>K447+K450+K452</f>
        <v>0</v>
      </c>
      <c r="L446" s="51"/>
    </row>
    <row r="447" spans="1:47" ht="15">
      <c r="A447" s="88"/>
      <c r="B447" s="89" t="s">
        <v>321</v>
      </c>
      <c r="C447" s="710" t="s">
        <v>605</v>
      </c>
      <c r="D447" s="711"/>
      <c r="E447" s="711"/>
      <c r="F447" s="88" t="s">
        <v>70</v>
      </c>
      <c r="G447" s="88" t="s">
        <v>70</v>
      </c>
      <c r="H447" s="88" t="s">
        <v>70</v>
      </c>
      <c r="I447" s="90">
        <f>SUM(I448:I448)</f>
        <v>0</v>
      </c>
      <c r="J447" s="90">
        <f>SUM(J448:J448)</f>
        <v>0</v>
      </c>
      <c r="K447" s="90">
        <f>SUM(K448:K448)</f>
        <v>0</v>
      </c>
      <c r="L447" s="91"/>
      <c r="AI447" s="67" t="s">
        <v>232</v>
      </c>
      <c r="AS447" s="68">
        <f>SUM(AJ448:AJ448)</f>
        <v>0</v>
      </c>
      <c r="AT447" s="68">
        <f>SUM(AK448:AK448)</f>
        <v>0</v>
      </c>
      <c r="AU447" s="68">
        <f>SUM(AL448:AL448)</f>
        <v>0</v>
      </c>
    </row>
    <row r="448" spans="1:62" ht="15">
      <c r="A448" s="69" t="s">
        <v>855</v>
      </c>
      <c r="B448" s="69" t="s">
        <v>856</v>
      </c>
      <c r="C448" s="696" t="s">
        <v>857</v>
      </c>
      <c r="D448" s="693"/>
      <c r="E448" s="693"/>
      <c r="F448" s="69" t="s">
        <v>109</v>
      </c>
      <c r="G448" s="70">
        <v>24.1</v>
      </c>
      <c r="H448" s="580">
        <v>0</v>
      </c>
      <c r="I448" s="70">
        <f>G448*AO448</f>
        <v>0</v>
      </c>
      <c r="J448" s="70">
        <f>G448*AP448</f>
        <v>0</v>
      </c>
      <c r="K448" s="70">
        <f>G448*H448</f>
        <v>0</v>
      </c>
      <c r="L448" s="71" t="s">
        <v>120</v>
      </c>
      <c r="Z448" s="70">
        <f>IF(AQ448="5",BJ448,0)</f>
        <v>0</v>
      </c>
      <c r="AB448" s="70">
        <f>IF(AQ448="1",BH448,0)</f>
        <v>0</v>
      </c>
      <c r="AC448" s="70">
        <f>IF(AQ448="1",BI448,0)</f>
        <v>0</v>
      </c>
      <c r="AD448" s="70">
        <f>IF(AQ448="7",BH448,0)</f>
        <v>0</v>
      </c>
      <c r="AE448" s="70">
        <f>IF(AQ448="7",BI448,0)</f>
        <v>0</v>
      </c>
      <c r="AF448" s="70">
        <f>IF(AQ448="2",BH448,0)</f>
        <v>0</v>
      </c>
      <c r="AG448" s="70">
        <f>IF(AQ448="2",BI448,0)</f>
        <v>0</v>
      </c>
      <c r="AH448" s="70">
        <f>IF(AQ448="0",BJ448,0)</f>
        <v>0</v>
      </c>
      <c r="AI448" s="67" t="s">
        <v>232</v>
      </c>
      <c r="AJ448" s="70">
        <f>IF(AN448=0,K448,0)</f>
        <v>0</v>
      </c>
      <c r="AK448" s="70">
        <f>IF(AN448=15,K448,0)</f>
        <v>0</v>
      </c>
      <c r="AL448" s="70">
        <f>IF(AN448=21,K448,0)</f>
        <v>0</v>
      </c>
      <c r="AN448" s="70">
        <v>21</v>
      </c>
      <c r="AO448" s="70">
        <f>H448*0.067431693989071</f>
        <v>0</v>
      </c>
      <c r="AP448" s="70">
        <f>H448*(1-0.067431693989071)</f>
        <v>0</v>
      </c>
      <c r="AQ448" s="71" t="s">
        <v>106</v>
      </c>
      <c r="AV448" s="70">
        <f>AW448+AX448</f>
        <v>0</v>
      </c>
      <c r="AW448" s="70">
        <f>G448*AO448</f>
        <v>0</v>
      </c>
      <c r="AX448" s="70">
        <f>G448*AP448</f>
        <v>0</v>
      </c>
      <c r="AY448" s="71" t="s">
        <v>607</v>
      </c>
      <c r="AZ448" s="71" t="s">
        <v>858</v>
      </c>
      <c r="BA448" s="67" t="s">
        <v>859</v>
      </c>
      <c r="BC448" s="70">
        <f>AW448+AX448</f>
        <v>0</v>
      </c>
      <c r="BD448" s="70">
        <f>H448/(100-BE448)*100</f>
        <v>0</v>
      </c>
      <c r="BE448" s="70">
        <v>0</v>
      </c>
      <c r="BF448" s="70">
        <f>448</f>
        <v>448</v>
      </c>
      <c r="BH448" s="70">
        <f>G448*AO448</f>
        <v>0</v>
      </c>
      <c r="BI448" s="70">
        <f>G448*AP448</f>
        <v>0</v>
      </c>
      <c r="BJ448" s="70">
        <f>G448*H448</f>
        <v>0</v>
      </c>
    </row>
    <row r="449" spans="2:12" ht="12.75" customHeight="1">
      <c r="B449" s="75" t="s">
        <v>67</v>
      </c>
      <c r="C449" s="725" t="s">
        <v>860</v>
      </c>
      <c r="D449" s="726"/>
      <c r="E449" s="726"/>
      <c r="F449" s="726"/>
      <c r="G449" s="726"/>
      <c r="H449" s="726"/>
      <c r="I449" s="726"/>
      <c r="J449" s="726"/>
      <c r="K449" s="726"/>
      <c r="L449" s="726"/>
    </row>
    <row r="450" spans="1:47" ht="15">
      <c r="A450" s="88"/>
      <c r="B450" s="89" t="s">
        <v>345</v>
      </c>
      <c r="C450" s="710" t="s">
        <v>346</v>
      </c>
      <c r="D450" s="711"/>
      <c r="E450" s="711"/>
      <c r="F450" s="88" t="s">
        <v>70</v>
      </c>
      <c r="G450" s="88" t="s">
        <v>70</v>
      </c>
      <c r="H450" s="88" t="s">
        <v>70</v>
      </c>
      <c r="I450" s="90">
        <f>SUM(I451:I451)</f>
        <v>0</v>
      </c>
      <c r="J450" s="90">
        <f>SUM(J451:J451)</f>
        <v>0</v>
      </c>
      <c r="K450" s="90">
        <f>SUM(K451:K451)</f>
        <v>0</v>
      </c>
      <c r="L450" s="91"/>
      <c r="AI450" s="67" t="s">
        <v>232</v>
      </c>
      <c r="AS450" s="68">
        <f>SUM(AJ451:AJ451)</f>
        <v>0</v>
      </c>
      <c r="AT450" s="68">
        <f>SUM(AK451:AK451)</f>
        <v>0</v>
      </c>
      <c r="AU450" s="68">
        <f>SUM(AL451:AL451)</f>
        <v>0</v>
      </c>
    </row>
    <row r="451" spans="1:62" ht="15">
      <c r="A451" s="69" t="s">
        <v>861</v>
      </c>
      <c r="B451" s="69" t="s">
        <v>348</v>
      </c>
      <c r="C451" s="696" t="s">
        <v>349</v>
      </c>
      <c r="D451" s="693"/>
      <c r="E451" s="693"/>
      <c r="F451" s="69" t="s">
        <v>132</v>
      </c>
      <c r="G451" s="70">
        <v>3.5</v>
      </c>
      <c r="H451" s="580">
        <v>0</v>
      </c>
      <c r="I451" s="70">
        <f>G451*AO451</f>
        <v>0</v>
      </c>
      <c r="J451" s="70">
        <f>G451*AP451</f>
        <v>0</v>
      </c>
      <c r="K451" s="70">
        <f>G451*H451</f>
        <v>0</v>
      </c>
      <c r="L451" s="71" t="s">
        <v>282</v>
      </c>
      <c r="Z451" s="70">
        <f>IF(AQ451="5",BJ451,0)</f>
        <v>0</v>
      </c>
      <c r="AB451" s="70">
        <f>IF(AQ451="1",BH451,0)</f>
        <v>0</v>
      </c>
      <c r="AC451" s="70">
        <f>IF(AQ451="1",BI451,0)</f>
        <v>0</v>
      </c>
      <c r="AD451" s="70">
        <f>IF(AQ451="7",BH451,0)</f>
        <v>0</v>
      </c>
      <c r="AE451" s="70">
        <f>IF(AQ451="7",BI451,0)</f>
        <v>0</v>
      </c>
      <c r="AF451" s="70">
        <f>IF(AQ451="2",BH451,0)</f>
        <v>0</v>
      </c>
      <c r="AG451" s="70">
        <f>IF(AQ451="2",BI451,0)</f>
        <v>0</v>
      </c>
      <c r="AH451" s="70">
        <f>IF(AQ451="0",BJ451,0)</f>
        <v>0</v>
      </c>
      <c r="AI451" s="67" t="s">
        <v>232</v>
      </c>
      <c r="AJ451" s="70">
        <f>IF(AN451=0,K451,0)</f>
        <v>0</v>
      </c>
      <c r="AK451" s="70">
        <f>IF(AN451=15,K451,0)</f>
        <v>0</v>
      </c>
      <c r="AL451" s="70">
        <f>IF(AN451=21,K451,0)</f>
        <v>0</v>
      </c>
      <c r="AN451" s="70">
        <v>21</v>
      </c>
      <c r="AO451" s="70">
        <f>H451*0</f>
        <v>0</v>
      </c>
      <c r="AP451" s="70">
        <f>H451*(1-0)</f>
        <v>0</v>
      </c>
      <c r="AQ451" s="71" t="s">
        <v>124</v>
      </c>
      <c r="AV451" s="70">
        <f>AW451+AX451</f>
        <v>0</v>
      </c>
      <c r="AW451" s="70">
        <f>G451*AO451</f>
        <v>0</v>
      </c>
      <c r="AX451" s="70">
        <f>G451*AP451</f>
        <v>0</v>
      </c>
      <c r="AY451" s="71" t="s">
        <v>350</v>
      </c>
      <c r="AZ451" s="71" t="s">
        <v>862</v>
      </c>
      <c r="BA451" s="67" t="s">
        <v>859</v>
      </c>
      <c r="BC451" s="70">
        <f>AW451+AX451</f>
        <v>0</v>
      </c>
      <c r="BD451" s="70">
        <f>H451/(100-BE451)*100</f>
        <v>0</v>
      </c>
      <c r="BE451" s="70">
        <v>0</v>
      </c>
      <c r="BF451" s="70">
        <f>451</f>
        <v>451</v>
      </c>
      <c r="BH451" s="70">
        <f>G451*AO451</f>
        <v>0</v>
      </c>
      <c r="BI451" s="70">
        <f>G451*AP451</f>
        <v>0</v>
      </c>
      <c r="BJ451" s="70">
        <f>G451*H451</f>
        <v>0</v>
      </c>
    </row>
    <row r="452" spans="1:47" ht="15">
      <c r="A452" s="88"/>
      <c r="B452" s="89"/>
      <c r="C452" s="710" t="s">
        <v>52</v>
      </c>
      <c r="D452" s="711"/>
      <c r="E452" s="711"/>
      <c r="F452" s="88" t="s">
        <v>70</v>
      </c>
      <c r="G452" s="88" t="s">
        <v>70</v>
      </c>
      <c r="H452" s="88" t="s">
        <v>70</v>
      </c>
      <c r="I452" s="90">
        <f>SUM(I453:I453)</f>
        <v>0</v>
      </c>
      <c r="J452" s="90">
        <f>SUM(J453:J453)</f>
        <v>0</v>
      </c>
      <c r="K452" s="90">
        <f>SUM(K453:K453)</f>
        <v>0</v>
      </c>
      <c r="L452" s="91"/>
      <c r="AI452" s="67" t="s">
        <v>232</v>
      </c>
      <c r="AS452" s="68">
        <f>SUM(AJ453:AJ453)</f>
        <v>0</v>
      </c>
      <c r="AT452" s="68">
        <f>SUM(AK453:AK453)</f>
        <v>0</v>
      </c>
      <c r="AU452" s="68">
        <f>SUM(AL453:AL453)</f>
        <v>0</v>
      </c>
    </row>
    <row r="453" spans="1:62" ht="15">
      <c r="A453" s="69" t="s">
        <v>863</v>
      </c>
      <c r="B453" s="69" t="s">
        <v>864</v>
      </c>
      <c r="C453" s="696" t="s">
        <v>865</v>
      </c>
      <c r="D453" s="693"/>
      <c r="E453" s="693"/>
      <c r="F453" s="69" t="s">
        <v>132</v>
      </c>
      <c r="G453" s="70">
        <v>3.5</v>
      </c>
      <c r="H453" s="580">
        <v>0</v>
      </c>
      <c r="I453" s="70">
        <f>G453*AO453</f>
        <v>0</v>
      </c>
      <c r="J453" s="70">
        <f>G453*AP453</f>
        <v>0</v>
      </c>
      <c r="K453" s="70">
        <f>G453*H453</f>
        <v>0</v>
      </c>
      <c r="L453" s="71" t="s">
        <v>120</v>
      </c>
      <c r="Z453" s="70">
        <f>IF(AQ453="5",BJ453,0)</f>
        <v>0</v>
      </c>
      <c r="AB453" s="70">
        <f>IF(AQ453="1",BH453,0)</f>
        <v>0</v>
      </c>
      <c r="AC453" s="70">
        <f>IF(AQ453="1",BI453,0)</f>
        <v>0</v>
      </c>
      <c r="AD453" s="70">
        <f>IF(AQ453="7",BH453,0)</f>
        <v>0</v>
      </c>
      <c r="AE453" s="70">
        <f>IF(AQ453="7",BI453,0)</f>
        <v>0</v>
      </c>
      <c r="AF453" s="70">
        <f>IF(AQ453="2",BH453,0)</f>
        <v>0</v>
      </c>
      <c r="AG453" s="70">
        <f>IF(AQ453="2",BI453,0)</f>
        <v>0</v>
      </c>
      <c r="AH453" s="70">
        <f>IF(AQ453="0",BJ453,0)</f>
        <v>0</v>
      </c>
      <c r="AI453" s="67" t="s">
        <v>232</v>
      </c>
      <c r="AJ453" s="70">
        <f>IF(AN453=0,K453,0)</f>
        <v>0</v>
      </c>
      <c r="AK453" s="70">
        <f>IF(AN453=15,K453,0)</f>
        <v>0</v>
      </c>
      <c r="AL453" s="70">
        <f>IF(AN453=21,K453,0)</f>
        <v>0</v>
      </c>
      <c r="AN453" s="70">
        <v>21</v>
      </c>
      <c r="AO453" s="70">
        <f>H453*1</f>
        <v>0</v>
      </c>
      <c r="AP453" s="70">
        <f>H453*(1-1)</f>
        <v>0</v>
      </c>
      <c r="AQ453" s="71" t="s">
        <v>355</v>
      </c>
      <c r="AV453" s="70">
        <f>AW453+AX453</f>
        <v>0</v>
      </c>
      <c r="AW453" s="70">
        <f>G453*AO453</f>
        <v>0</v>
      </c>
      <c r="AX453" s="70">
        <f>G453*AP453</f>
        <v>0</v>
      </c>
      <c r="AY453" s="71" t="s">
        <v>356</v>
      </c>
      <c r="AZ453" s="71" t="s">
        <v>866</v>
      </c>
      <c r="BA453" s="67" t="s">
        <v>859</v>
      </c>
      <c r="BC453" s="70">
        <f>AW453+AX453</f>
        <v>0</v>
      </c>
      <c r="BD453" s="70">
        <f>H453/(100-BE453)*100</f>
        <v>0</v>
      </c>
      <c r="BE453" s="70">
        <v>0</v>
      </c>
      <c r="BF453" s="70">
        <f>453</f>
        <v>453</v>
      </c>
      <c r="BH453" s="70">
        <f>G453*AO453</f>
        <v>0</v>
      </c>
      <c r="BI453" s="70">
        <f>G453*AP453</f>
        <v>0</v>
      </c>
      <c r="BJ453" s="70">
        <f>G453*H453</f>
        <v>0</v>
      </c>
    </row>
    <row r="454" spans="2:12" ht="12.75" customHeight="1">
      <c r="B454" s="75" t="s">
        <v>67</v>
      </c>
      <c r="C454" s="725" t="s">
        <v>593</v>
      </c>
      <c r="D454" s="726"/>
      <c r="E454" s="726"/>
      <c r="F454" s="726"/>
      <c r="G454" s="726"/>
      <c r="H454" s="726"/>
      <c r="I454" s="726"/>
      <c r="J454" s="726"/>
      <c r="K454" s="726"/>
      <c r="L454" s="726"/>
    </row>
    <row r="455" spans="1:12" ht="15">
      <c r="A455" s="48"/>
      <c r="B455" s="49"/>
      <c r="C455" s="727" t="s">
        <v>867</v>
      </c>
      <c r="D455" s="728"/>
      <c r="E455" s="728"/>
      <c r="F455" s="48" t="s">
        <v>70</v>
      </c>
      <c r="G455" s="48" t="s">
        <v>70</v>
      </c>
      <c r="H455" s="48" t="s">
        <v>70</v>
      </c>
      <c r="I455" s="50">
        <f>I456+I461+I468+I470</f>
        <v>0</v>
      </c>
      <c r="J455" s="50">
        <f>J456+J461+J468+J470</f>
        <v>0</v>
      </c>
      <c r="K455" s="50">
        <f>K456+K461+K468+K470</f>
        <v>0</v>
      </c>
      <c r="L455" s="51"/>
    </row>
    <row r="456" spans="1:47" ht="15">
      <c r="A456" s="88"/>
      <c r="B456" s="89" t="s">
        <v>169</v>
      </c>
      <c r="C456" s="710" t="s">
        <v>278</v>
      </c>
      <c r="D456" s="711"/>
      <c r="E456" s="711"/>
      <c r="F456" s="88" t="s">
        <v>70</v>
      </c>
      <c r="G456" s="88" t="s">
        <v>70</v>
      </c>
      <c r="H456" s="88" t="s">
        <v>70</v>
      </c>
      <c r="I456" s="90">
        <f>SUM(I457:I460)</f>
        <v>0</v>
      </c>
      <c r="J456" s="90">
        <f>SUM(J457:J460)</f>
        <v>0</v>
      </c>
      <c r="K456" s="90">
        <f>SUM(K457:K460)</f>
        <v>0</v>
      </c>
      <c r="L456" s="91"/>
      <c r="AI456" s="67" t="s">
        <v>235</v>
      </c>
      <c r="AS456" s="68">
        <f>SUM(AJ457:AJ460)</f>
        <v>0</v>
      </c>
      <c r="AT456" s="68">
        <f>SUM(AK457:AK460)</f>
        <v>0</v>
      </c>
      <c r="AU456" s="68">
        <f>SUM(AL457:AL460)</f>
        <v>0</v>
      </c>
    </row>
    <row r="457" spans="1:62" ht="15">
      <c r="A457" s="69" t="s">
        <v>868</v>
      </c>
      <c r="B457" s="69" t="s">
        <v>280</v>
      </c>
      <c r="C457" s="696" t="s">
        <v>869</v>
      </c>
      <c r="D457" s="693"/>
      <c r="E457" s="693"/>
      <c r="F457" s="69" t="s">
        <v>253</v>
      </c>
      <c r="G457" s="70">
        <v>18.7</v>
      </c>
      <c r="H457" s="580">
        <v>0</v>
      </c>
      <c r="I457" s="70">
        <f>G457*AO457</f>
        <v>0</v>
      </c>
      <c r="J457" s="70">
        <f>G457*AP457</f>
        <v>0</v>
      </c>
      <c r="K457" s="70">
        <f>G457*H457</f>
        <v>0</v>
      </c>
      <c r="L457" s="71" t="s">
        <v>282</v>
      </c>
      <c r="Z457" s="70">
        <f>IF(AQ457="5",BJ457,0)</f>
        <v>0</v>
      </c>
      <c r="AB457" s="70">
        <f>IF(AQ457="1",BH457,0)</f>
        <v>0</v>
      </c>
      <c r="AC457" s="70">
        <f>IF(AQ457="1",BI457,0)</f>
        <v>0</v>
      </c>
      <c r="AD457" s="70">
        <f>IF(AQ457="7",BH457,0)</f>
        <v>0</v>
      </c>
      <c r="AE457" s="70">
        <f>IF(AQ457="7",BI457,0)</f>
        <v>0</v>
      </c>
      <c r="AF457" s="70">
        <f>IF(AQ457="2",BH457,0)</f>
        <v>0</v>
      </c>
      <c r="AG457" s="70">
        <f>IF(AQ457="2",BI457,0)</f>
        <v>0</v>
      </c>
      <c r="AH457" s="70">
        <f>IF(AQ457="0",BJ457,0)</f>
        <v>0</v>
      </c>
      <c r="AI457" s="67" t="s">
        <v>235</v>
      </c>
      <c r="AJ457" s="70">
        <f>IF(AN457=0,K457,0)</f>
        <v>0</v>
      </c>
      <c r="AK457" s="70">
        <f>IF(AN457=15,K457,0)</f>
        <v>0</v>
      </c>
      <c r="AL457" s="70">
        <f>IF(AN457=21,K457,0)</f>
        <v>0</v>
      </c>
      <c r="AN457" s="70">
        <v>21</v>
      </c>
      <c r="AO457" s="70">
        <f>H457*0</f>
        <v>0</v>
      </c>
      <c r="AP457" s="70">
        <f>H457*(1-0)</f>
        <v>0</v>
      </c>
      <c r="AQ457" s="71" t="s">
        <v>106</v>
      </c>
      <c r="AV457" s="70">
        <f>AW457+AX457</f>
        <v>0</v>
      </c>
      <c r="AW457" s="70">
        <f>G457*AO457</f>
        <v>0</v>
      </c>
      <c r="AX457" s="70">
        <f>G457*AP457</f>
        <v>0</v>
      </c>
      <c r="AY457" s="71" t="s">
        <v>283</v>
      </c>
      <c r="AZ457" s="71" t="s">
        <v>870</v>
      </c>
      <c r="BA457" s="67" t="s">
        <v>871</v>
      </c>
      <c r="BC457" s="70">
        <f>AW457+AX457</f>
        <v>0</v>
      </c>
      <c r="BD457" s="70">
        <f>H457/(100-BE457)*100</f>
        <v>0</v>
      </c>
      <c r="BE457" s="70">
        <v>0</v>
      </c>
      <c r="BF457" s="70">
        <f>457</f>
        <v>457</v>
      </c>
      <c r="BH457" s="70">
        <f>G457*AO457</f>
        <v>0</v>
      </c>
      <c r="BI457" s="70">
        <f>G457*AP457</f>
        <v>0</v>
      </c>
      <c r="BJ457" s="70">
        <f>G457*H457</f>
        <v>0</v>
      </c>
    </row>
    <row r="458" spans="1:62" ht="15">
      <c r="A458" s="69" t="s">
        <v>872</v>
      </c>
      <c r="B458" s="69" t="s">
        <v>318</v>
      </c>
      <c r="C458" s="696" t="s">
        <v>319</v>
      </c>
      <c r="D458" s="693"/>
      <c r="E458" s="693"/>
      <c r="F458" s="69" t="s">
        <v>109</v>
      </c>
      <c r="G458" s="70">
        <v>28.7</v>
      </c>
      <c r="H458" s="580">
        <v>0</v>
      </c>
      <c r="I458" s="70">
        <f>G458*AO458</f>
        <v>0</v>
      </c>
      <c r="J458" s="70">
        <f>G458*AP458</f>
        <v>0</v>
      </c>
      <c r="K458" s="70">
        <f>G458*H458</f>
        <v>0</v>
      </c>
      <c r="L458" s="71" t="s">
        <v>282</v>
      </c>
      <c r="Z458" s="70">
        <f>IF(AQ458="5",BJ458,0)</f>
        <v>0</v>
      </c>
      <c r="AB458" s="70">
        <f>IF(AQ458="1",BH458,0)</f>
        <v>0</v>
      </c>
      <c r="AC458" s="70">
        <f>IF(AQ458="1",BI458,0)</f>
        <v>0</v>
      </c>
      <c r="AD458" s="70">
        <f>IF(AQ458="7",BH458,0)</f>
        <v>0</v>
      </c>
      <c r="AE458" s="70">
        <f>IF(AQ458="7",BI458,0)</f>
        <v>0</v>
      </c>
      <c r="AF458" s="70">
        <f>IF(AQ458="2",BH458,0)</f>
        <v>0</v>
      </c>
      <c r="AG458" s="70">
        <f>IF(AQ458="2",BI458,0)</f>
        <v>0</v>
      </c>
      <c r="AH458" s="70">
        <f>IF(AQ458="0",BJ458,0)</f>
        <v>0</v>
      </c>
      <c r="AI458" s="67" t="s">
        <v>235</v>
      </c>
      <c r="AJ458" s="70">
        <f>IF(AN458=0,K458,0)</f>
        <v>0</v>
      </c>
      <c r="AK458" s="70">
        <f>IF(AN458=15,K458,0)</f>
        <v>0</v>
      </c>
      <c r="AL458" s="70">
        <f>IF(AN458=21,K458,0)</f>
        <v>0</v>
      </c>
      <c r="AN458" s="70">
        <v>21</v>
      </c>
      <c r="AO458" s="70">
        <f>H458*0</f>
        <v>0</v>
      </c>
      <c r="AP458" s="70">
        <f>H458*(1-0)</f>
        <v>0</v>
      </c>
      <c r="AQ458" s="71" t="s">
        <v>106</v>
      </c>
      <c r="AV458" s="70">
        <f>AW458+AX458</f>
        <v>0</v>
      </c>
      <c r="AW458" s="70">
        <f>G458*AO458</f>
        <v>0</v>
      </c>
      <c r="AX458" s="70">
        <f>G458*AP458</f>
        <v>0</v>
      </c>
      <c r="AY458" s="71" t="s">
        <v>283</v>
      </c>
      <c r="AZ458" s="71" t="s">
        <v>870</v>
      </c>
      <c r="BA458" s="67" t="s">
        <v>871</v>
      </c>
      <c r="BC458" s="70">
        <f>AW458+AX458</f>
        <v>0</v>
      </c>
      <c r="BD458" s="70">
        <f>H458/(100-BE458)*100</f>
        <v>0</v>
      </c>
      <c r="BE458" s="70">
        <v>0</v>
      </c>
      <c r="BF458" s="70">
        <f>458</f>
        <v>458</v>
      </c>
      <c r="BH458" s="70">
        <f>G458*AO458</f>
        <v>0</v>
      </c>
      <c r="BI458" s="70">
        <f>G458*AP458</f>
        <v>0</v>
      </c>
      <c r="BJ458" s="70">
        <f>G458*H458</f>
        <v>0</v>
      </c>
    </row>
    <row r="459" spans="1:62" ht="15">
      <c r="A459" s="69" t="s">
        <v>873</v>
      </c>
      <c r="B459" s="69" t="s">
        <v>322</v>
      </c>
      <c r="C459" s="696" t="s">
        <v>874</v>
      </c>
      <c r="D459" s="693"/>
      <c r="E459" s="693"/>
      <c r="F459" s="69" t="s">
        <v>253</v>
      </c>
      <c r="G459" s="70">
        <v>22.8</v>
      </c>
      <c r="H459" s="580">
        <v>0</v>
      </c>
      <c r="I459" s="70">
        <f>G459*AO459</f>
        <v>0</v>
      </c>
      <c r="J459" s="70">
        <f>G459*AP459</f>
        <v>0</v>
      </c>
      <c r="K459" s="70">
        <f>G459*H459</f>
        <v>0</v>
      </c>
      <c r="L459" s="71" t="s">
        <v>120</v>
      </c>
      <c r="Z459" s="70">
        <f>IF(AQ459="5",BJ459,0)</f>
        <v>0</v>
      </c>
      <c r="AB459" s="70">
        <f>IF(AQ459="1",BH459,0)</f>
        <v>0</v>
      </c>
      <c r="AC459" s="70">
        <f>IF(AQ459="1",BI459,0)</f>
        <v>0</v>
      </c>
      <c r="AD459" s="70">
        <f>IF(AQ459="7",BH459,0)</f>
        <v>0</v>
      </c>
      <c r="AE459" s="70">
        <f>IF(AQ459="7",BI459,0)</f>
        <v>0</v>
      </c>
      <c r="AF459" s="70">
        <f>IF(AQ459="2",BH459,0)</f>
        <v>0</v>
      </c>
      <c r="AG459" s="70">
        <f>IF(AQ459="2",BI459,0)</f>
        <v>0</v>
      </c>
      <c r="AH459" s="70">
        <f>IF(AQ459="0",BJ459,0)</f>
        <v>0</v>
      </c>
      <c r="AI459" s="67" t="s">
        <v>235</v>
      </c>
      <c r="AJ459" s="70">
        <f>IF(AN459=0,K459,0)</f>
        <v>0</v>
      </c>
      <c r="AK459" s="70">
        <f>IF(AN459=15,K459,0)</f>
        <v>0</v>
      </c>
      <c r="AL459" s="70">
        <f>IF(AN459=21,K459,0)</f>
        <v>0</v>
      </c>
      <c r="AN459" s="70">
        <v>21</v>
      </c>
      <c r="AO459" s="70">
        <f>H459*0</f>
        <v>0</v>
      </c>
      <c r="AP459" s="70">
        <f>H459*(1-0)</f>
        <v>0</v>
      </c>
      <c r="AQ459" s="71" t="s">
        <v>106</v>
      </c>
      <c r="AV459" s="70">
        <f>AW459+AX459</f>
        <v>0</v>
      </c>
      <c r="AW459" s="70">
        <f>G459*AO459</f>
        <v>0</v>
      </c>
      <c r="AX459" s="70">
        <f>G459*AP459</f>
        <v>0</v>
      </c>
      <c r="AY459" s="71" t="s">
        <v>283</v>
      </c>
      <c r="AZ459" s="71" t="s">
        <v>870</v>
      </c>
      <c r="BA459" s="67" t="s">
        <v>871</v>
      </c>
      <c r="BC459" s="70">
        <f>AW459+AX459</f>
        <v>0</v>
      </c>
      <c r="BD459" s="70">
        <f>H459/(100-BE459)*100</f>
        <v>0</v>
      </c>
      <c r="BE459" s="70">
        <v>0</v>
      </c>
      <c r="BF459" s="70">
        <f>459</f>
        <v>459</v>
      </c>
      <c r="BH459" s="70">
        <f>G459*AO459</f>
        <v>0</v>
      </c>
      <c r="BI459" s="70">
        <f>G459*AP459</f>
        <v>0</v>
      </c>
      <c r="BJ459" s="70">
        <f>G459*H459</f>
        <v>0</v>
      </c>
    </row>
    <row r="460" spans="1:62" ht="15">
      <c r="A460" s="69" t="s">
        <v>875</v>
      </c>
      <c r="B460" s="69" t="s">
        <v>325</v>
      </c>
      <c r="C460" s="696" t="s">
        <v>326</v>
      </c>
      <c r="D460" s="693"/>
      <c r="E460" s="693"/>
      <c r="F460" s="69" t="s">
        <v>253</v>
      </c>
      <c r="G460" s="70">
        <v>22.8</v>
      </c>
      <c r="H460" s="580">
        <v>0</v>
      </c>
      <c r="I460" s="70">
        <f>G460*AO460</f>
        <v>0</v>
      </c>
      <c r="J460" s="70">
        <f>G460*AP460</f>
        <v>0</v>
      </c>
      <c r="K460" s="70">
        <f>G460*H460</f>
        <v>0</v>
      </c>
      <c r="L460" s="71" t="s">
        <v>282</v>
      </c>
      <c r="Z460" s="70">
        <f>IF(AQ460="5",BJ460,0)</f>
        <v>0</v>
      </c>
      <c r="AB460" s="70">
        <f>IF(AQ460="1",BH460,0)</f>
        <v>0</v>
      </c>
      <c r="AC460" s="70">
        <f>IF(AQ460="1",BI460,0)</f>
        <v>0</v>
      </c>
      <c r="AD460" s="70">
        <f>IF(AQ460="7",BH460,0)</f>
        <v>0</v>
      </c>
      <c r="AE460" s="70">
        <f>IF(AQ460="7",BI460,0)</f>
        <v>0</v>
      </c>
      <c r="AF460" s="70">
        <f>IF(AQ460="2",BH460,0)</f>
        <v>0</v>
      </c>
      <c r="AG460" s="70">
        <f>IF(AQ460="2",BI460,0)</f>
        <v>0</v>
      </c>
      <c r="AH460" s="70">
        <f>IF(AQ460="0",BJ460,0)</f>
        <v>0</v>
      </c>
      <c r="AI460" s="67" t="s">
        <v>235</v>
      </c>
      <c r="AJ460" s="70">
        <f>IF(AN460=0,K460,0)</f>
        <v>0</v>
      </c>
      <c r="AK460" s="70">
        <f>IF(AN460=15,K460,0)</f>
        <v>0</v>
      </c>
      <c r="AL460" s="70">
        <f>IF(AN460=21,K460,0)</f>
        <v>0</v>
      </c>
      <c r="AN460" s="70">
        <v>21</v>
      </c>
      <c r="AO460" s="70">
        <f>H460*0</f>
        <v>0</v>
      </c>
      <c r="AP460" s="70">
        <f>H460*(1-0)</f>
        <v>0</v>
      </c>
      <c r="AQ460" s="71" t="s">
        <v>106</v>
      </c>
      <c r="AV460" s="70">
        <f>AW460+AX460</f>
        <v>0</v>
      </c>
      <c r="AW460" s="70">
        <f>G460*AO460</f>
        <v>0</v>
      </c>
      <c r="AX460" s="70">
        <f>G460*AP460</f>
        <v>0</v>
      </c>
      <c r="AY460" s="71" t="s">
        <v>283</v>
      </c>
      <c r="AZ460" s="71" t="s">
        <v>870</v>
      </c>
      <c r="BA460" s="67" t="s">
        <v>871</v>
      </c>
      <c r="BC460" s="70">
        <f>AW460+AX460</f>
        <v>0</v>
      </c>
      <c r="BD460" s="70">
        <f>H460/(100-BE460)*100</f>
        <v>0</v>
      </c>
      <c r="BE460" s="70">
        <v>0</v>
      </c>
      <c r="BF460" s="70">
        <f>460</f>
        <v>460</v>
      </c>
      <c r="BH460" s="70">
        <f>G460*AO460</f>
        <v>0</v>
      </c>
      <c r="BI460" s="70">
        <f>G460*AP460</f>
        <v>0</v>
      </c>
      <c r="BJ460" s="70">
        <f>G460*H460</f>
        <v>0</v>
      </c>
    </row>
    <row r="461" spans="1:47" ht="15">
      <c r="A461" s="88"/>
      <c r="B461" s="89" t="s">
        <v>314</v>
      </c>
      <c r="C461" s="710" t="s">
        <v>327</v>
      </c>
      <c r="D461" s="711"/>
      <c r="E461" s="711"/>
      <c r="F461" s="88" t="s">
        <v>70</v>
      </c>
      <c r="G461" s="88" t="s">
        <v>70</v>
      </c>
      <c r="H461" s="88" t="s">
        <v>70</v>
      </c>
      <c r="I461" s="90">
        <f>SUM(I462:I467)</f>
        <v>0</v>
      </c>
      <c r="J461" s="90">
        <f>SUM(J462:J467)</f>
        <v>0</v>
      </c>
      <c r="K461" s="90">
        <f>SUM(K462:K467)</f>
        <v>0</v>
      </c>
      <c r="L461" s="91"/>
      <c r="AI461" s="67" t="s">
        <v>235</v>
      </c>
      <c r="AS461" s="68">
        <f>SUM(AJ462:AJ467)</f>
        <v>0</v>
      </c>
      <c r="AT461" s="68">
        <f>SUM(AK462:AK467)</f>
        <v>0</v>
      </c>
      <c r="AU461" s="68">
        <f>SUM(AL462:AL467)</f>
        <v>0</v>
      </c>
    </row>
    <row r="462" spans="1:62" ht="15">
      <c r="A462" s="69" t="s">
        <v>876</v>
      </c>
      <c r="B462" s="69" t="s">
        <v>329</v>
      </c>
      <c r="C462" s="696" t="s">
        <v>330</v>
      </c>
      <c r="D462" s="693"/>
      <c r="E462" s="693"/>
      <c r="F462" s="69" t="s">
        <v>253</v>
      </c>
      <c r="G462" s="70">
        <v>15.1</v>
      </c>
      <c r="H462" s="580">
        <v>0</v>
      </c>
      <c r="I462" s="70">
        <f>G462*AO462</f>
        <v>0</v>
      </c>
      <c r="J462" s="70">
        <f>G462*AP462</f>
        <v>0</v>
      </c>
      <c r="K462" s="70">
        <f>G462*H462</f>
        <v>0</v>
      </c>
      <c r="L462" s="71" t="s">
        <v>282</v>
      </c>
      <c r="Z462" s="70">
        <f>IF(AQ462="5",BJ462,0)</f>
        <v>0</v>
      </c>
      <c r="AB462" s="70">
        <f>IF(AQ462="1",BH462,0)</f>
        <v>0</v>
      </c>
      <c r="AC462" s="70">
        <f>IF(AQ462="1",BI462,0)</f>
        <v>0</v>
      </c>
      <c r="AD462" s="70">
        <f>IF(AQ462="7",BH462,0)</f>
        <v>0</v>
      </c>
      <c r="AE462" s="70">
        <f>IF(AQ462="7",BI462,0)</f>
        <v>0</v>
      </c>
      <c r="AF462" s="70">
        <f>IF(AQ462="2",BH462,0)</f>
        <v>0</v>
      </c>
      <c r="AG462" s="70">
        <f>IF(AQ462="2",BI462,0)</f>
        <v>0</v>
      </c>
      <c r="AH462" s="70">
        <f>IF(AQ462="0",BJ462,0)</f>
        <v>0</v>
      </c>
      <c r="AI462" s="67" t="s">
        <v>235</v>
      </c>
      <c r="AJ462" s="70">
        <f>IF(AN462=0,K462,0)</f>
        <v>0</v>
      </c>
      <c r="AK462" s="70">
        <f>IF(AN462=15,K462,0)</f>
        <v>0</v>
      </c>
      <c r="AL462" s="70">
        <f>IF(AN462=21,K462,0)</f>
        <v>0</v>
      </c>
      <c r="AN462" s="70">
        <v>21</v>
      </c>
      <c r="AO462" s="70">
        <f>H462*0</f>
        <v>0</v>
      </c>
      <c r="AP462" s="70">
        <f>H462*(1-0)</f>
        <v>0</v>
      </c>
      <c r="AQ462" s="71" t="s">
        <v>106</v>
      </c>
      <c r="AV462" s="70">
        <f>AW462+AX462</f>
        <v>0</v>
      </c>
      <c r="AW462" s="70">
        <f>G462*AO462</f>
        <v>0</v>
      </c>
      <c r="AX462" s="70">
        <f>G462*AP462</f>
        <v>0</v>
      </c>
      <c r="AY462" s="71" t="s">
        <v>331</v>
      </c>
      <c r="AZ462" s="71" t="s">
        <v>877</v>
      </c>
      <c r="BA462" s="67" t="s">
        <v>871</v>
      </c>
      <c r="BC462" s="70">
        <f>AW462+AX462</f>
        <v>0</v>
      </c>
      <c r="BD462" s="70">
        <f>H462/(100-BE462)*100</f>
        <v>0</v>
      </c>
      <c r="BE462" s="70">
        <v>0</v>
      </c>
      <c r="BF462" s="70">
        <f>462</f>
        <v>462</v>
      </c>
      <c r="BH462" s="70">
        <f>G462*AO462</f>
        <v>0</v>
      </c>
      <c r="BI462" s="70">
        <f>G462*AP462</f>
        <v>0</v>
      </c>
      <c r="BJ462" s="70">
        <f>G462*H462</f>
        <v>0</v>
      </c>
    </row>
    <row r="463" spans="2:12" ht="12.75" customHeight="1">
      <c r="B463" s="75" t="s">
        <v>67</v>
      </c>
      <c r="C463" s="725" t="s">
        <v>878</v>
      </c>
      <c r="D463" s="726"/>
      <c r="E463" s="726"/>
      <c r="F463" s="726"/>
      <c r="G463" s="726"/>
      <c r="H463" s="726"/>
      <c r="I463" s="726"/>
      <c r="J463" s="726"/>
      <c r="K463" s="726"/>
      <c r="L463" s="726"/>
    </row>
    <row r="464" spans="1:62" ht="15">
      <c r="A464" s="69" t="s">
        <v>879</v>
      </c>
      <c r="B464" s="69" t="s">
        <v>335</v>
      </c>
      <c r="C464" s="696" t="s">
        <v>336</v>
      </c>
      <c r="D464" s="693"/>
      <c r="E464" s="693"/>
      <c r="F464" s="69" t="s">
        <v>337</v>
      </c>
      <c r="G464" s="70">
        <v>360</v>
      </c>
      <c r="H464" s="580">
        <v>0</v>
      </c>
      <c r="I464" s="70">
        <f>G464*AO464</f>
        <v>0</v>
      </c>
      <c r="J464" s="70">
        <f>G464*AP464</f>
        <v>0</v>
      </c>
      <c r="K464" s="70">
        <f>G464*H464</f>
        <v>0</v>
      </c>
      <c r="L464" s="71"/>
      <c r="Z464" s="70">
        <f>IF(AQ464="5",BJ464,0)</f>
        <v>0</v>
      </c>
      <c r="AB464" s="70">
        <f>IF(AQ464="1",BH464,0)</f>
        <v>0</v>
      </c>
      <c r="AC464" s="70">
        <f>IF(AQ464="1",BI464,0)</f>
        <v>0</v>
      </c>
      <c r="AD464" s="70">
        <f>IF(AQ464="7",BH464,0)</f>
        <v>0</v>
      </c>
      <c r="AE464" s="70">
        <f>IF(AQ464="7",BI464,0)</f>
        <v>0</v>
      </c>
      <c r="AF464" s="70">
        <f>IF(AQ464="2",BH464,0)</f>
        <v>0</v>
      </c>
      <c r="AG464" s="70">
        <f>IF(AQ464="2",BI464,0)</f>
        <v>0</v>
      </c>
      <c r="AH464" s="70">
        <f>IF(AQ464="0",BJ464,0)</f>
        <v>0</v>
      </c>
      <c r="AI464" s="67" t="s">
        <v>235</v>
      </c>
      <c r="AJ464" s="70">
        <f>IF(AN464=0,K464,0)</f>
        <v>0</v>
      </c>
      <c r="AK464" s="70">
        <f>IF(AN464=15,K464,0)</f>
        <v>0</v>
      </c>
      <c r="AL464" s="70">
        <f>IF(AN464=21,K464,0)</f>
        <v>0</v>
      </c>
      <c r="AN464" s="70">
        <v>21</v>
      </c>
      <c r="AO464" s="70">
        <f>H464*0</f>
        <v>0</v>
      </c>
      <c r="AP464" s="70">
        <f>H464*(1-0)</f>
        <v>0</v>
      </c>
      <c r="AQ464" s="71" t="s">
        <v>124</v>
      </c>
      <c r="AV464" s="70">
        <f>AW464+AX464</f>
        <v>0</v>
      </c>
      <c r="AW464" s="70">
        <f>G464*AO464</f>
        <v>0</v>
      </c>
      <c r="AX464" s="70">
        <f>G464*AP464</f>
        <v>0</v>
      </c>
      <c r="AY464" s="71" t="s">
        <v>331</v>
      </c>
      <c r="AZ464" s="71" t="s">
        <v>877</v>
      </c>
      <c r="BA464" s="67" t="s">
        <v>871</v>
      </c>
      <c r="BC464" s="70">
        <f>AW464+AX464</f>
        <v>0</v>
      </c>
      <c r="BD464" s="70">
        <f>H464/(100-BE464)*100</f>
        <v>0</v>
      </c>
      <c r="BE464" s="70">
        <v>0</v>
      </c>
      <c r="BF464" s="70">
        <f>464</f>
        <v>464</v>
      </c>
      <c r="BH464" s="70">
        <f>G464*AO464</f>
        <v>0</v>
      </c>
      <c r="BI464" s="70">
        <f>G464*AP464</f>
        <v>0</v>
      </c>
      <c r="BJ464" s="70">
        <f>G464*H464</f>
        <v>0</v>
      </c>
    </row>
    <row r="465" spans="2:12" ht="38.7" customHeight="1">
      <c r="B465" s="75" t="s">
        <v>67</v>
      </c>
      <c r="C465" s="725" t="s">
        <v>880</v>
      </c>
      <c r="D465" s="726"/>
      <c r="E465" s="726"/>
      <c r="F465" s="726"/>
      <c r="G465" s="726"/>
      <c r="H465" s="726"/>
      <c r="I465" s="726"/>
      <c r="J465" s="726"/>
      <c r="K465" s="726"/>
      <c r="L465" s="726"/>
    </row>
    <row r="466" spans="1:62" ht="15">
      <c r="A466" s="69" t="s">
        <v>881</v>
      </c>
      <c r="B466" s="69" t="s">
        <v>882</v>
      </c>
      <c r="C466" s="696" t="s">
        <v>883</v>
      </c>
      <c r="D466" s="693"/>
      <c r="E466" s="693"/>
      <c r="F466" s="69" t="s">
        <v>109</v>
      </c>
      <c r="G466" s="70">
        <v>28.7</v>
      </c>
      <c r="H466" s="580">
        <v>0</v>
      </c>
      <c r="I466" s="70">
        <f>G466*AO466</f>
        <v>0</v>
      </c>
      <c r="J466" s="70">
        <f>G466*AP466</f>
        <v>0</v>
      </c>
      <c r="K466" s="70">
        <f>G466*H466</f>
        <v>0</v>
      </c>
      <c r="L466" s="71" t="s">
        <v>120</v>
      </c>
      <c r="Z466" s="70">
        <f>IF(AQ466="5",BJ466,0)</f>
        <v>0</v>
      </c>
      <c r="AB466" s="70">
        <f>IF(AQ466="1",BH466,0)</f>
        <v>0</v>
      </c>
      <c r="AC466" s="70">
        <f>IF(AQ466="1",BI466,0)</f>
        <v>0</v>
      </c>
      <c r="AD466" s="70">
        <f>IF(AQ466="7",BH466,0)</f>
        <v>0</v>
      </c>
      <c r="AE466" s="70">
        <f>IF(AQ466="7",BI466,0)</f>
        <v>0</v>
      </c>
      <c r="AF466" s="70">
        <f>IF(AQ466="2",BH466,0)</f>
        <v>0</v>
      </c>
      <c r="AG466" s="70">
        <f>IF(AQ466="2",BI466,0)</f>
        <v>0</v>
      </c>
      <c r="AH466" s="70">
        <f>IF(AQ466="0",BJ466,0)</f>
        <v>0</v>
      </c>
      <c r="AI466" s="67" t="s">
        <v>235</v>
      </c>
      <c r="AJ466" s="70">
        <f>IF(AN466=0,K466,0)</f>
        <v>0</v>
      </c>
      <c r="AK466" s="70">
        <f>IF(AN466=15,K466,0)</f>
        <v>0</v>
      </c>
      <c r="AL466" s="70">
        <f>IF(AN466=21,K466,0)</f>
        <v>0</v>
      </c>
      <c r="AN466" s="70">
        <v>21</v>
      </c>
      <c r="AO466" s="70">
        <f>H466*0</f>
        <v>0</v>
      </c>
      <c r="AP466" s="70">
        <f>H466*(1-0)</f>
        <v>0</v>
      </c>
      <c r="AQ466" s="71" t="s">
        <v>106</v>
      </c>
      <c r="AV466" s="70">
        <f>AW466+AX466</f>
        <v>0</v>
      </c>
      <c r="AW466" s="70">
        <f>G466*AO466</f>
        <v>0</v>
      </c>
      <c r="AX466" s="70">
        <f>G466*AP466</f>
        <v>0</v>
      </c>
      <c r="AY466" s="71" t="s">
        <v>331</v>
      </c>
      <c r="AZ466" s="71" t="s">
        <v>877</v>
      </c>
      <c r="BA466" s="67" t="s">
        <v>871</v>
      </c>
      <c r="BC466" s="70">
        <f>AW466+AX466</f>
        <v>0</v>
      </c>
      <c r="BD466" s="70">
        <f>H466/(100-BE466)*100</f>
        <v>0</v>
      </c>
      <c r="BE466" s="70">
        <v>0</v>
      </c>
      <c r="BF466" s="70">
        <f>466</f>
        <v>466</v>
      </c>
      <c r="BH466" s="70">
        <f>G466*AO466</f>
        <v>0</v>
      </c>
      <c r="BI466" s="70">
        <f>G466*AP466</f>
        <v>0</v>
      </c>
      <c r="BJ466" s="70">
        <f>G466*H466</f>
        <v>0</v>
      </c>
    </row>
    <row r="467" spans="1:62" ht="15">
      <c r="A467" s="69" t="s">
        <v>884</v>
      </c>
      <c r="B467" s="69" t="s">
        <v>614</v>
      </c>
      <c r="C467" s="696" t="s">
        <v>885</v>
      </c>
      <c r="D467" s="693"/>
      <c r="E467" s="693"/>
      <c r="F467" s="69" t="s">
        <v>109</v>
      </c>
      <c r="G467" s="70">
        <v>28.7</v>
      </c>
      <c r="H467" s="580">
        <v>0</v>
      </c>
      <c r="I467" s="70">
        <f>G467*AO467</f>
        <v>0</v>
      </c>
      <c r="J467" s="70">
        <f>G467*AP467</f>
        <v>0</v>
      </c>
      <c r="K467" s="70">
        <f>G467*H467</f>
        <v>0</v>
      </c>
      <c r="L467" s="71" t="s">
        <v>120</v>
      </c>
      <c r="Z467" s="70">
        <f>IF(AQ467="5",BJ467,0)</f>
        <v>0</v>
      </c>
      <c r="AB467" s="70">
        <f>IF(AQ467="1",BH467,0)</f>
        <v>0</v>
      </c>
      <c r="AC467" s="70">
        <f>IF(AQ467="1",BI467,0)</f>
        <v>0</v>
      </c>
      <c r="AD467" s="70">
        <f>IF(AQ467="7",BH467,0)</f>
        <v>0</v>
      </c>
      <c r="AE467" s="70">
        <f>IF(AQ467="7",BI467,0)</f>
        <v>0</v>
      </c>
      <c r="AF467" s="70">
        <f>IF(AQ467="2",BH467,0)</f>
        <v>0</v>
      </c>
      <c r="AG467" s="70">
        <f>IF(AQ467="2",BI467,0)</f>
        <v>0</v>
      </c>
      <c r="AH467" s="70">
        <f>IF(AQ467="0",BJ467,0)</f>
        <v>0</v>
      </c>
      <c r="AI467" s="67" t="s">
        <v>235</v>
      </c>
      <c r="AJ467" s="70">
        <f>IF(AN467=0,K467,0)</f>
        <v>0</v>
      </c>
      <c r="AK467" s="70">
        <f>IF(AN467=15,K467,0)</f>
        <v>0</v>
      </c>
      <c r="AL467" s="70">
        <f>IF(AN467=21,K467,0)</f>
        <v>0</v>
      </c>
      <c r="AN467" s="70">
        <v>21</v>
      </c>
      <c r="AO467" s="70">
        <f>H467*0.067431693989071</f>
        <v>0</v>
      </c>
      <c r="AP467" s="70">
        <f>H467*(1-0.067431693989071)</f>
        <v>0</v>
      </c>
      <c r="AQ467" s="71" t="s">
        <v>106</v>
      </c>
      <c r="AV467" s="70">
        <f>AW467+AX467</f>
        <v>0</v>
      </c>
      <c r="AW467" s="70">
        <f>G467*AO467</f>
        <v>0</v>
      </c>
      <c r="AX467" s="70">
        <f>G467*AP467</f>
        <v>0</v>
      </c>
      <c r="AY467" s="71" t="s">
        <v>331</v>
      </c>
      <c r="AZ467" s="71" t="s">
        <v>877</v>
      </c>
      <c r="BA467" s="67" t="s">
        <v>871</v>
      </c>
      <c r="BC467" s="70">
        <f>AW467+AX467</f>
        <v>0</v>
      </c>
      <c r="BD467" s="70">
        <f>H467/(100-BE467)*100</f>
        <v>0</v>
      </c>
      <c r="BE467" s="70">
        <v>0</v>
      </c>
      <c r="BF467" s="70">
        <f>467</f>
        <v>467</v>
      </c>
      <c r="BH467" s="70">
        <f>G467*AO467</f>
        <v>0</v>
      </c>
      <c r="BI467" s="70">
        <f>G467*AP467</f>
        <v>0</v>
      </c>
      <c r="BJ467" s="70">
        <f>G467*H467</f>
        <v>0</v>
      </c>
    </row>
    <row r="468" spans="1:47" ht="15">
      <c r="A468" s="88"/>
      <c r="B468" s="89" t="s">
        <v>345</v>
      </c>
      <c r="C468" s="710" t="s">
        <v>346</v>
      </c>
      <c r="D468" s="711"/>
      <c r="E468" s="711"/>
      <c r="F468" s="88" t="s">
        <v>70</v>
      </c>
      <c r="G468" s="88" t="s">
        <v>70</v>
      </c>
      <c r="H468" s="88" t="s">
        <v>70</v>
      </c>
      <c r="I468" s="90">
        <f>SUM(I469:I469)</f>
        <v>0</v>
      </c>
      <c r="J468" s="90">
        <f>SUM(J469:J469)</f>
        <v>0</v>
      </c>
      <c r="K468" s="90">
        <f>SUM(K469:K469)</f>
        <v>0</v>
      </c>
      <c r="L468" s="91"/>
      <c r="AI468" s="67" t="s">
        <v>235</v>
      </c>
      <c r="AS468" s="68">
        <f>SUM(AJ469:AJ469)</f>
        <v>0</v>
      </c>
      <c r="AT468" s="68">
        <f>SUM(AK469:AK469)</f>
        <v>0</v>
      </c>
      <c r="AU468" s="68">
        <f>SUM(AL469:AL469)</f>
        <v>0</v>
      </c>
    </row>
    <row r="469" spans="1:62" ht="15">
      <c r="A469" s="69" t="s">
        <v>886</v>
      </c>
      <c r="B469" s="69" t="s">
        <v>348</v>
      </c>
      <c r="C469" s="696" t="s">
        <v>349</v>
      </c>
      <c r="D469" s="693"/>
      <c r="E469" s="693"/>
      <c r="F469" s="69" t="s">
        <v>132</v>
      </c>
      <c r="G469" s="70">
        <v>37</v>
      </c>
      <c r="H469" s="580">
        <v>0</v>
      </c>
      <c r="I469" s="70">
        <f>G469*AO469</f>
        <v>0</v>
      </c>
      <c r="J469" s="70">
        <f>G469*AP469</f>
        <v>0</v>
      </c>
      <c r="K469" s="70">
        <f>G469*H469</f>
        <v>0</v>
      </c>
      <c r="L469" s="71" t="s">
        <v>282</v>
      </c>
      <c r="Z469" s="70">
        <f>IF(AQ469="5",BJ469,0)</f>
        <v>0</v>
      </c>
      <c r="AB469" s="70">
        <f>IF(AQ469="1",BH469,0)</f>
        <v>0</v>
      </c>
      <c r="AC469" s="70">
        <f>IF(AQ469="1",BI469,0)</f>
        <v>0</v>
      </c>
      <c r="AD469" s="70">
        <f>IF(AQ469="7",BH469,0)</f>
        <v>0</v>
      </c>
      <c r="AE469" s="70">
        <f>IF(AQ469="7",BI469,0)</f>
        <v>0</v>
      </c>
      <c r="AF469" s="70">
        <f>IF(AQ469="2",BH469,0)</f>
        <v>0</v>
      </c>
      <c r="AG469" s="70">
        <f>IF(AQ469="2",BI469,0)</f>
        <v>0</v>
      </c>
      <c r="AH469" s="70">
        <f>IF(AQ469="0",BJ469,0)</f>
        <v>0</v>
      </c>
      <c r="AI469" s="67" t="s">
        <v>235</v>
      </c>
      <c r="AJ469" s="70">
        <f>IF(AN469=0,K469,0)</f>
        <v>0</v>
      </c>
      <c r="AK469" s="70">
        <f>IF(AN469=15,K469,0)</f>
        <v>0</v>
      </c>
      <c r="AL469" s="70">
        <f>IF(AN469=21,K469,0)</f>
        <v>0</v>
      </c>
      <c r="AN469" s="70">
        <v>21</v>
      </c>
      <c r="AO469" s="70">
        <f>H469*0</f>
        <v>0</v>
      </c>
      <c r="AP469" s="70">
        <f>H469*(1-0)</f>
        <v>0</v>
      </c>
      <c r="AQ469" s="71" t="s">
        <v>124</v>
      </c>
      <c r="AV469" s="70">
        <f>AW469+AX469</f>
        <v>0</v>
      </c>
      <c r="AW469" s="70">
        <f>G469*AO469</f>
        <v>0</v>
      </c>
      <c r="AX469" s="70">
        <f>G469*AP469</f>
        <v>0</v>
      </c>
      <c r="AY469" s="71" t="s">
        <v>350</v>
      </c>
      <c r="AZ469" s="71" t="s">
        <v>887</v>
      </c>
      <c r="BA469" s="67" t="s">
        <v>871</v>
      </c>
      <c r="BC469" s="70">
        <f>AW469+AX469</f>
        <v>0</v>
      </c>
      <c r="BD469" s="70">
        <f>H469/(100-BE469)*100</f>
        <v>0</v>
      </c>
      <c r="BE469" s="70">
        <v>0</v>
      </c>
      <c r="BF469" s="70">
        <f>469</f>
        <v>469</v>
      </c>
      <c r="BH469" s="70">
        <f>G469*AO469</f>
        <v>0</v>
      </c>
      <c r="BI469" s="70">
        <f>G469*AP469</f>
        <v>0</v>
      </c>
      <c r="BJ469" s="70">
        <f>G469*H469</f>
        <v>0</v>
      </c>
    </row>
    <row r="470" spans="1:47" ht="15">
      <c r="A470" s="88"/>
      <c r="B470" s="89"/>
      <c r="C470" s="710" t="s">
        <v>52</v>
      </c>
      <c r="D470" s="711"/>
      <c r="E470" s="711"/>
      <c r="F470" s="88" t="s">
        <v>70</v>
      </c>
      <c r="G470" s="88" t="s">
        <v>70</v>
      </c>
      <c r="H470" s="88" t="s">
        <v>70</v>
      </c>
      <c r="I470" s="90">
        <f>SUM(I471:I475)</f>
        <v>0</v>
      </c>
      <c r="J470" s="90">
        <f>SUM(J471:J475)</f>
        <v>0</v>
      </c>
      <c r="K470" s="90">
        <f>SUM(K471:K475)</f>
        <v>0</v>
      </c>
      <c r="L470" s="91"/>
      <c r="AI470" s="67" t="s">
        <v>235</v>
      </c>
      <c r="AS470" s="68">
        <f>SUM(AJ471:AJ475)</f>
        <v>0</v>
      </c>
      <c r="AT470" s="68">
        <f>SUM(AK471:AK475)</f>
        <v>0</v>
      </c>
      <c r="AU470" s="68">
        <f>SUM(AL471:AL475)</f>
        <v>0</v>
      </c>
    </row>
    <row r="471" spans="1:62" ht="15">
      <c r="A471" s="69" t="s">
        <v>888</v>
      </c>
      <c r="B471" s="69" t="s">
        <v>363</v>
      </c>
      <c r="C471" s="696" t="s">
        <v>889</v>
      </c>
      <c r="D471" s="693"/>
      <c r="E471" s="693"/>
      <c r="F471" s="69" t="s">
        <v>132</v>
      </c>
      <c r="G471" s="70">
        <v>28</v>
      </c>
      <c r="H471" s="580">
        <v>0</v>
      </c>
      <c r="I471" s="70">
        <f>G471*AO471</f>
        <v>0</v>
      </c>
      <c r="J471" s="70">
        <f>G471*AP471</f>
        <v>0</v>
      </c>
      <c r="K471" s="70">
        <f>G471*H471</f>
        <v>0</v>
      </c>
      <c r="L471" s="71" t="s">
        <v>120</v>
      </c>
      <c r="Z471" s="70">
        <f>IF(AQ471="5",BJ471,0)</f>
        <v>0</v>
      </c>
      <c r="AB471" s="70">
        <f>IF(AQ471="1",BH471,0)</f>
        <v>0</v>
      </c>
      <c r="AC471" s="70">
        <f>IF(AQ471="1",BI471,0)</f>
        <v>0</v>
      </c>
      <c r="AD471" s="70">
        <f>IF(AQ471="7",BH471,0)</f>
        <v>0</v>
      </c>
      <c r="AE471" s="70">
        <f>IF(AQ471="7",BI471,0)</f>
        <v>0</v>
      </c>
      <c r="AF471" s="70">
        <f>IF(AQ471="2",BH471,0)</f>
        <v>0</v>
      </c>
      <c r="AG471" s="70">
        <f>IF(AQ471="2",BI471,0)</f>
        <v>0</v>
      </c>
      <c r="AH471" s="70">
        <f>IF(AQ471="0",BJ471,0)</f>
        <v>0</v>
      </c>
      <c r="AI471" s="67" t="s">
        <v>235</v>
      </c>
      <c r="AJ471" s="70">
        <f>IF(AN471=0,K471,0)</f>
        <v>0</v>
      </c>
      <c r="AK471" s="70">
        <f>IF(AN471=15,K471,0)</f>
        <v>0</v>
      </c>
      <c r="AL471" s="70">
        <f>IF(AN471=21,K471,0)</f>
        <v>0</v>
      </c>
      <c r="AN471" s="70">
        <v>21</v>
      </c>
      <c r="AO471" s="70">
        <f>H471*1</f>
        <v>0</v>
      </c>
      <c r="AP471" s="70">
        <f>H471*(1-1)</f>
        <v>0</v>
      </c>
      <c r="AQ471" s="71" t="s">
        <v>355</v>
      </c>
      <c r="AV471" s="70">
        <f>AW471+AX471</f>
        <v>0</v>
      </c>
      <c r="AW471" s="70">
        <f>G471*AO471</f>
        <v>0</v>
      </c>
      <c r="AX471" s="70">
        <f>G471*AP471</f>
        <v>0</v>
      </c>
      <c r="AY471" s="71" t="s">
        <v>356</v>
      </c>
      <c r="AZ471" s="71" t="s">
        <v>890</v>
      </c>
      <c r="BA471" s="67" t="s">
        <v>871</v>
      </c>
      <c r="BC471" s="70">
        <f>AW471+AX471</f>
        <v>0</v>
      </c>
      <c r="BD471" s="70">
        <f>H471/(100-BE471)*100</f>
        <v>0</v>
      </c>
      <c r="BE471" s="70">
        <v>0</v>
      </c>
      <c r="BF471" s="70">
        <f>471</f>
        <v>471</v>
      </c>
      <c r="BH471" s="70">
        <f>G471*AO471</f>
        <v>0</v>
      </c>
      <c r="BI471" s="70">
        <f>G471*AP471</f>
        <v>0</v>
      </c>
      <c r="BJ471" s="70">
        <f>G471*H471</f>
        <v>0</v>
      </c>
    </row>
    <row r="472" spans="2:12" ht="12.75" customHeight="1">
      <c r="B472" s="75" t="s">
        <v>67</v>
      </c>
      <c r="C472" s="725" t="s">
        <v>358</v>
      </c>
      <c r="D472" s="726"/>
      <c r="E472" s="726"/>
      <c r="F472" s="726"/>
      <c r="G472" s="726"/>
      <c r="H472" s="726"/>
      <c r="I472" s="726"/>
      <c r="J472" s="726"/>
      <c r="K472" s="726"/>
      <c r="L472" s="726"/>
    </row>
    <row r="473" spans="1:62" ht="15">
      <c r="A473" s="69" t="s">
        <v>891</v>
      </c>
      <c r="B473" s="69" t="s">
        <v>892</v>
      </c>
      <c r="C473" s="696" t="s">
        <v>893</v>
      </c>
      <c r="D473" s="693"/>
      <c r="E473" s="693"/>
      <c r="F473" s="69" t="s">
        <v>109</v>
      </c>
      <c r="G473" s="70">
        <v>31.6</v>
      </c>
      <c r="H473" s="580">
        <v>0</v>
      </c>
      <c r="I473" s="70">
        <f>G473*AO473</f>
        <v>0</v>
      </c>
      <c r="J473" s="70">
        <f>G473*AP473</f>
        <v>0</v>
      </c>
      <c r="K473" s="70">
        <f>G473*H473</f>
        <v>0</v>
      </c>
      <c r="L473" s="71" t="s">
        <v>120</v>
      </c>
      <c r="Z473" s="70">
        <f>IF(AQ473="5",BJ473,0)</f>
        <v>0</v>
      </c>
      <c r="AB473" s="70">
        <f>IF(AQ473="1",BH473,0)</f>
        <v>0</v>
      </c>
      <c r="AC473" s="70">
        <f>IF(AQ473="1",BI473,0)</f>
        <v>0</v>
      </c>
      <c r="AD473" s="70">
        <f>IF(AQ473="7",BH473,0)</f>
        <v>0</v>
      </c>
      <c r="AE473" s="70">
        <f>IF(AQ473="7",BI473,0)</f>
        <v>0</v>
      </c>
      <c r="AF473" s="70">
        <f>IF(AQ473="2",BH473,0)</f>
        <v>0</v>
      </c>
      <c r="AG473" s="70">
        <f>IF(AQ473="2",BI473,0)</f>
        <v>0</v>
      </c>
      <c r="AH473" s="70">
        <f>IF(AQ473="0",BJ473,0)</f>
        <v>0</v>
      </c>
      <c r="AI473" s="67" t="s">
        <v>235</v>
      </c>
      <c r="AJ473" s="70">
        <f>IF(AN473=0,K473,0)</f>
        <v>0</v>
      </c>
      <c r="AK473" s="70">
        <f>IF(AN473=15,K473,0)</f>
        <v>0</v>
      </c>
      <c r="AL473" s="70">
        <f>IF(AN473=21,K473,0)</f>
        <v>0</v>
      </c>
      <c r="AN473" s="70">
        <v>21</v>
      </c>
      <c r="AO473" s="70">
        <f>H473*1</f>
        <v>0</v>
      </c>
      <c r="AP473" s="70">
        <f>H473*(1-1)</f>
        <v>0</v>
      </c>
      <c r="AQ473" s="71" t="s">
        <v>355</v>
      </c>
      <c r="AV473" s="70">
        <f>AW473+AX473</f>
        <v>0</v>
      </c>
      <c r="AW473" s="70">
        <f>G473*AO473</f>
        <v>0</v>
      </c>
      <c r="AX473" s="70">
        <f>G473*AP473</f>
        <v>0</v>
      </c>
      <c r="AY473" s="71" t="s">
        <v>356</v>
      </c>
      <c r="AZ473" s="71" t="s">
        <v>890</v>
      </c>
      <c r="BA473" s="67" t="s">
        <v>871</v>
      </c>
      <c r="BC473" s="70">
        <f>AW473+AX473</f>
        <v>0</v>
      </c>
      <c r="BD473" s="70">
        <f>H473/(100-BE473)*100</f>
        <v>0</v>
      </c>
      <c r="BE473" s="70">
        <v>0</v>
      </c>
      <c r="BF473" s="70">
        <f>473</f>
        <v>473</v>
      </c>
      <c r="BH473" s="70">
        <f>G473*AO473</f>
        <v>0</v>
      </c>
      <c r="BI473" s="70">
        <f>G473*AP473</f>
        <v>0</v>
      </c>
      <c r="BJ473" s="70">
        <f>G473*H473</f>
        <v>0</v>
      </c>
    </row>
    <row r="474" spans="1:62" ht="15">
      <c r="A474" s="69" t="s">
        <v>894</v>
      </c>
      <c r="B474" s="69" t="s">
        <v>895</v>
      </c>
      <c r="C474" s="696" t="s">
        <v>896</v>
      </c>
      <c r="D474" s="693"/>
      <c r="E474" s="693"/>
      <c r="F474" s="69" t="s">
        <v>209</v>
      </c>
      <c r="G474" s="70">
        <v>37</v>
      </c>
      <c r="H474" s="580">
        <v>0</v>
      </c>
      <c r="I474" s="70">
        <f>G474*AO474</f>
        <v>0</v>
      </c>
      <c r="J474" s="70">
        <f>G474*AP474</f>
        <v>0</v>
      </c>
      <c r="K474" s="70">
        <f>G474*H474</f>
        <v>0</v>
      </c>
      <c r="L474" s="71" t="s">
        <v>120</v>
      </c>
      <c r="Z474" s="70">
        <f>IF(AQ474="5",BJ474,0)</f>
        <v>0</v>
      </c>
      <c r="AB474" s="70">
        <f>IF(AQ474="1",BH474,0)</f>
        <v>0</v>
      </c>
      <c r="AC474" s="70">
        <f>IF(AQ474="1",BI474,0)</f>
        <v>0</v>
      </c>
      <c r="AD474" s="70">
        <f>IF(AQ474="7",BH474,0)</f>
        <v>0</v>
      </c>
      <c r="AE474" s="70">
        <f>IF(AQ474="7",BI474,0)</f>
        <v>0</v>
      </c>
      <c r="AF474" s="70">
        <f>IF(AQ474="2",BH474,0)</f>
        <v>0</v>
      </c>
      <c r="AG474" s="70">
        <f>IF(AQ474="2",BI474,0)</f>
        <v>0</v>
      </c>
      <c r="AH474" s="70">
        <f>IF(AQ474="0",BJ474,0)</f>
        <v>0</v>
      </c>
      <c r="AI474" s="67" t="s">
        <v>235</v>
      </c>
      <c r="AJ474" s="70">
        <f>IF(AN474=0,K474,0)</f>
        <v>0</v>
      </c>
      <c r="AK474" s="70">
        <f>IF(AN474=15,K474,0)</f>
        <v>0</v>
      </c>
      <c r="AL474" s="70">
        <f>IF(AN474=21,K474,0)</f>
        <v>0</v>
      </c>
      <c r="AN474" s="70">
        <v>21</v>
      </c>
      <c r="AO474" s="70">
        <f>H474*1</f>
        <v>0</v>
      </c>
      <c r="AP474" s="70">
        <f>H474*(1-1)</f>
        <v>0</v>
      </c>
      <c r="AQ474" s="71" t="s">
        <v>355</v>
      </c>
      <c r="AV474" s="70">
        <f>AW474+AX474</f>
        <v>0</v>
      </c>
      <c r="AW474" s="70">
        <f>G474*AO474</f>
        <v>0</v>
      </c>
      <c r="AX474" s="70">
        <f>G474*AP474</f>
        <v>0</v>
      </c>
      <c r="AY474" s="71" t="s">
        <v>356</v>
      </c>
      <c r="AZ474" s="71" t="s">
        <v>890</v>
      </c>
      <c r="BA474" s="67" t="s">
        <v>871</v>
      </c>
      <c r="BC474" s="70">
        <f>AW474+AX474</f>
        <v>0</v>
      </c>
      <c r="BD474" s="70">
        <f>H474/(100-BE474)*100</f>
        <v>0</v>
      </c>
      <c r="BE474" s="70">
        <v>0</v>
      </c>
      <c r="BF474" s="70">
        <f>474</f>
        <v>474</v>
      </c>
      <c r="BH474" s="70">
        <f>G474*AO474</f>
        <v>0</v>
      </c>
      <c r="BI474" s="70">
        <f>G474*AP474</f>
        <v>0</v>
      </c>
      <c r="BJ474" s="70">
        <f>G474*H474</f>
        <v>0</v>
      </c>
    </row>
    <row r="475" spans="1:62" ht="15">
      <c r="A475" s="69" t="s">
        <v>897</v>
      </c>
      <c r="B475" s="69" t="s">
        <v>366</v>
      </c>
      <c r="C475" s="696" t="s">
        <v>592</v>
      </c>
      <c r="D475" s="693"/>
      <c r="E475" s="693"/>
      <c r="F475" s="69" t="s">
        <v>132</v>
      </c>
      <c r="G475" s="70">
        <v>5.8</v>
      </c>
      <c r="H475" s="580">
        <v>0</v>
      </c>
      <c r="I475" s="70">
        <f>G475*AO475</f>
        <v>0</v>
      </c>
      <c r="J475" s="70">
        <f>G475*AP475</f>
        <v>0</v>
      </c>
      <c r="K475" s="70">
        <f>G475*H475</f>
        <v>0</v>
      </c>
      <c r="L475" s="71" t="s">
        <v>120</v>
      </c>
      <c r="Z475" s="70">
        <f>IF(AQ475="5",BJ475,0)</f>
        <v>0</v>
      </c>
      <c r="AB475" s="70">
        <f>IF(AQ475="1",BH475,0)</f>
        <v>0</v>
      </c>
      <c r="AC475" s="70">
        <f>IF(AQ475="1",BI475,0)</f>
        <v>0</v>
      </c>
      <c r="AD475" s="70">
        <f>IF(AQ475="7",BH475,0)</f>
        <v>0</v>
      </c>
      <c r="AE475" s="70">
        <f>IF(AQ475="7",BI475,0)</f>
        <v>0</v>
      </c>
      <c r="AF475" s="70">
        <f>IF(AQ475="2",BH475,0)</f>
        <v>0</v>
      </c>
      <c r="AG475" s="70">
        <f>IF(AQ475="2",BI475,0)</f>
        <v>0</v>
      </c>
      <c r="AH475" s="70">
        <f>IF(AQ475="0",BJ475,0)</f>
        <v>0</v>
      </c>
      <c r="AI475" s="67" t="s">
        <v>235</v>
      </c>
      <c r="AJ475" s="70">
        <f>IF(AN475=0,K475,0)</f>
        <v>0</v>
      </c>
      <c r="AK475" s="70">
        <f>IF(AN475=15,K475,0)</f>
        <v>0</v>
      </c>
      <c r="AL475" s="70">
        <f>IF(AN475=21,K475,0)</f>
        <v>0</v>
      </c>
      <c r="AN475" s="70">
        <v>21</v>
      </c>
      <c r="AO475" s="70">
        <f>H475*1</f>
        <v>0</v>
      </c>
      <c r="AP475" s="70">
        <f>H475*(1-1)</f>
        <v>0</v>
      </c>
      <c r="AQ475" s="71" t="s">
        <v>355</v>
      </c>
      <c r="AV475" s="70">
        <f>AW475+AX475</f>
        <v>0</v>
      </c>
      <c r="AW475" s="70">
        <f>G475*AO475</f>
        <v>0</v>
      </c>
      <c r="AX475" s="70">
        <f>G475*AP475</f>
        <v>0</v>
      </c>
      <c r="AY475" s="71" t="s">
        <v>356</v>
      </c>
      <c r="AZ475" s="71" t="s">
        <v>890</v>
      </c>
      <c r="BA475" s="67" t="s">
        <v>871</v>
      </c>
      <c r="BC475" s="70">
        <f>AW475+AX475</f>
        <v>0</v>
      </c>
      <c r="BD475" s="70">
        <f>H475/(100-BE475)*100</f>
        <v>0</v>
      </c>
      <c r="BE475" s="70">
        <v>0</v>
      </c>
      <c r="BF475" s="70">
        <f>475</f>
        <v>475</v>
      </c>
      <c r="BH475" s="70">
        <f>G475*AO475</f>
        <v>0</v>
      </c>
      <c r="BI475" s="70">
        <f>G475*AP475</f>
        <v>0</v>
      </c>
      <c r="BJ475" s="70">
        <f>G475*H475</f>
        <v>0</v>
      </c>
    </row>
    <row r="476" spans="2:12" ht="12.75" customHeight="1">
      <c r="B476" s="75" t="s">
        <v>67</v>
      </c>
      <c r="C476" s="725" t="s">
        <v>593</v>
      </c>
      <c r="D476" s="726"/>
      <c r="E476" s="726"/>
      <c r="F476" s="726"/>
      <c r="G476" s="726"/>
      <c r="H476" s="726"/>
      <c r="I476" s="726"/>
      <c r="J476" s="726"/>
      <c r="K476" s="726"/>
      <c r="L476" s="726"/>
    </row>
    <row r="477" spans="1:12" ht="15">
      <c r="A477" s="48"/>
      <c r="B477" s="49"/>
      <c r="C477" s="727" t="s">
        <v>898</v>
      </c>
      <c r="D477" s="728"/>
      <c r="E477" s="728"/>
      <c r="F477" s="48" t="s">
        <v>70</v>
      </c>
      <c r="G477" s="48" t="s">
        <v>70</v>
      </c>
      <c r="H477" s="48" t="s">
        <v>70</v>
      </c>
      <c r="I477" s="50">
        <f>I478</f>
        <v>0</v>
      </c>
      <c r="J477" s="50">
        <f>J478</f>
        <v>0</v>
      </c>
      <c r="K477" s="50">
        <f>K478</f>
        <v>0</v>
      </c>
      <c r="L477" s="51"/>
    </row>
    <row r="478" spans="1:47" ht="15">
      <c r="A478" s="88"/>
      <c r="B478" s="89"/>
      <c r="C478" s="710" t="s">
        <v>52</v>
      </c>
      <c r="D478" s="711"/>
      <c r="E478" s="711"/>
      <c r="F478" s="88" t="s">
        <v>70</v>
      </c>
      <c r="G478" s="88" t="s">
        <v>70</v>
      </c>
      <c r="H478" s="88" t="s">
        <v>70</v>
      </c>
      <c r="I478" s="90">
        <f>SUM(I479:I483)</f>
        <v>0</v>
      </c>
      <c r="J478" s="90">
        <f>SUM(J479:J483)</f>
        <v>0</v>
      </c>
      <c r="K478" s="90">
        <f>SUM(K479:K483)</f>
        <v>0</v>
      </c>
      <c r="L478" s="91"/>
      <c r="AI478" s="67" t="s">
        <v>240</v>
      </c>
      <c r="AS478" s="68">
        <f>SUM(AJ479:AJ483)</f>
        <v>0</v>
      </c>
      <c r="AT478" s="68">
        <f>SUM(AK479:AK483)</f>
        <v>0</v>
      </c>
      <c r="AU478" s="68">
        <f>SUM(AL479:AL483)</f>
        <v>0</v>
      </c>
    </row>
    <row r="479" spans="1:62" ht="15">
      <c r="A479" s="69" t="s">
        <v>899</v>
      </c>
      <c r="B479" s="69" t="s">
        <v>900</v>
      </c>
      <c r="C479" s="696" t="s">
        <v>901</v>
      </c>
      <c r="D479" s="693"/>
      <c r="E479" s="693"/>
      <c r="F479" s="69" t="s">
        <v>674</v>
      </c>
      <c r="G479" s="70">
        <v>15</v>
      </c>
      <c r="H479" s="580">
        <v>0</v>
      </c>
      <c r="I479" s="70">
        <f>G479*AO479</f>
        <v>0</v>
      </c>
      <c r="J479" s="70">
        <f>G479*AP479</f>
        <v>0</v>
      </c>
      <c r="K479" s="70">
        <f>G479*H479</f>
        <v>0</v>
      </c>
      <c r="L479" s="71" t="s">
        <v>120</v>
      </c>
      <c r="Z479" s="70">
        <f>IF(AQ479="5",BJ479,0)</f>
        <v>0</v>
      </c>
      <c r="AB479" s="70">
        <f>IF(AQ479="1",BH479,0)</f>
        <v>0</v>
      </c>
      <c r="AC479" s="70">
        <f>IF(AQ479="1",BI479,0)</f>
        <v>0</v>
      </c>
      <c r="AD479" s="70">
        <f>IF(AQ479="7",BH479,0)</f>
        <v>0</v>
      </c>
      <c r="AE479" s="70">
        <f>IF(AQ479="7",BI479,0)</f>
        <v>0</v>
      </c>
      <c r="AF479" s="70">
        <f>IF(AQ479="2",BH479,0)</f>
        <v>0</v>
      </c>
      <c r="AG479" s="70">
        <f>IF(AQ479="2",BI479,0)</f>
        <v>0</v>
      </c>
      <c r="AH479" s="70">
        <f>IF(AQ479="0",BJ479,0)</f>
        <v>0</v>
      </c>
      <c r="AI479" s="67" t="s">
        <v>240</v>
      </c>
      <c r="AJ479" s="70">
        <f>IF(AN479=0,K479,0)</f>
        <v>0</v>
      </c>
      <c r="AK479" s="70">
        <f>IF(AN479=15,K479,0)</f>
        <v>0</v>
      </c>
      <c r="AL479" s="70">
        <f>IF(AN479=21,K479,0)</f>
        <v>0</v>
      </c>
      <c r="AN479" s="70">
        <v>21</v>
      </c>
      <c r="AO479" s="70">
        <f>H479*1</f>
        <v>0</v>
      </c>
      <c r="AP479" s="70">
        <f>H479*(1-1)</f>
        <v>0</v>
      </c>
      <c r="AQ479" s="71" t="s">
        <v>355</v>
      </c>
      <c r="AV479" s="70">
        <f>AW479+AX479</f>
        <v>0</v>
      </c>
      <c r="AW479" s="70">
        <f>G479*AO479</f>
        <v>0</v>
      </c>
      <c r="AX479" s="70">
        <f>G479*AP479</f>
        <v>0</v>
      </c>
      <c r="AY479" s="71" t="s">
        <v>356</v>
      </c>
      <c r="AZ479" s="71" t="s">
        <v>902</v>
      </c>
      <c r="BA479" s="67" t="s">
        <v>903</v>
      </c>
      <c r="BC479" s="70">
        <f>AW479+AX479</f>
        <v>0</v>
      </c>
      <c r="BD479" s="70">
        <f>H479/(100-BE479)*100</f>
        <v>0</v>
      </c>
      <c r="BE479" s="70">
        <v>0</v>
      </c>
      <c r="BF479" s="70">
        <f>479</f>
        <v>479</v>
      </c>
      <c r="BH479" s="70">
        <f>G479*AO479</f>
        <v>0</v>
      </c>
      <c r="BI479" s="70">
        <f>G479*AP479</f>
        <v>0</v>
      </c>
      <c r="BJ479" s="70">
        <f>G479*H479</f>
        <v>0</v>
      </c>
    </row>
    <row r="480" spans="2:12" ht="25.35" customHeight="1">
      <c r="B480" s="75" t="s">
        <v>67</v>
      </c>
      <c r="C480" s="725" t="s">
        <v>904</v>
      </c>
      <c r="D480" s="726"/>
      <c r="E480" s="726"/>
      <c r="F480" s="726"/>
      <c r="G480" s="726"/>
      <c r="H480" s="726"/>
      <c r="I480" s="726"/>
      <c r="J480" s="726"/>
      <c r="K480" s="726"/>
      <c r="L480" s="726"/>
    </row>
    <row r="481" spans="1:62" ht="15">
      <c r="A481" s="69" t="s">
        <v>905</v>
      </c>
      <c r="B481" s="69" t="s">
        <v>900</v>
      </c>
      <c r="C481" s="696" t="s">
        <v>906</v>
      </c>
      <c r="D481" s="693"/>
      <c r="E481" s="693"/>
      <c r="F481" s="69" t="s">
        <v>674</v>
      </c>
      <c r="G481" s="70">
        <v>4</v>
      </c>
      <c r="H481" s="580">
        <v>0</v>
      </c>
      <c r="I481" s="70">
        <f>G481*AO481</f>
        <v>0</v>
      </c>
      <c r="J481" s="70">
        <f>G481*AP481</f>
        <v>0</v>
      </c>
      <c r="K481" s="70">
        <f>G481*H481</f>
        <v>0</v>
      </c>
      <c r="L481" s="71" t="s">
        <v>120</v>
      </c>
      <c r="Z481" s="70">
        <f>IF(AQ481="5",BJ481,0)</f>
        <v>0</v>
      </c>
      <c r="AB481" s="70">
        <f>IF(AQ481="1",BH481,0)</f>
        <v>0</v>
      </c>
      <c r="AC481" s="70">
        <f>IF(AQ481="1",BI481,0)</f>
        <v>0</v>
      </c>
      <c r="AD481" s="70">
        <f>IF(AQ481="7",BH481,0)</f>
        <v>0</v>
      </c>
      <c r="AE481" s="70">
        <f>IF(AQ481="7",BI481,0)</f>
        <v>0</v>
      </c>
      <c r="AF481" s="70">
        <f>IF(AQ481="2",BH481,0)</f>
        <v>0</v>
      </c>
      <c r="AG481" s="70">
        <f>IF(AQ481="2",BI481,0)</f>
        <v>0</v>
      </c>
      <c r="AH481" s="70">
        <f>IF(AQ481="0",BJ481,0)</f>
        <v>0</v>
      </c>
      <c r="AI481" s="67" t="s">
        <v>240</v>
      </c>
      <c r="AJ481" s="70">
        <f>IF(AN481=0,K481,0)</f>
        <v>0</v>
      </c>
      <c r="AK481" s="70">
        <f>IF(AN481=15,K481,0)</f>
        <v>0</v>
      </c>
      <c r="AL481" s="70">
        <f>IF(AN481=21,K481,0)</f>
        <v>0</v>
      </c>
      <c r="AN481" s="70">
        <v>21</v>
      </c>
      <c r="AO481" s="70">
        <f>H481*1</f>
        <v>0</v>
      </c>
      <c r="AP481" s="70">
        <f>H481*(1-1)</f>
        <v>0</v>
      </c>
      <c r="AQ481" s="71" t="s">
        <v>355</v>
      </c>
      <c r="AV481" s="70">
        <f>AW481+AX481</f>
        <v>0</v>
      </c>
      <c r="AW481" s="70">
        <f>G481*AO481</f>
        <v>0</v>
      </c>
      <c r="AX481" s="70">
        <f>G481*AP481</f>
        <v>0</v>
      </c>
      <c r="AY481" s="71" t="s">
        <v>356</v>
      </c>
      <c r="AZ481" s="71" t="s">
        <v>902</v>
      </c>
      <c r="BA481" s="67" t="s">
        <v>903</v>
      </c>
      <c r="BC481" s="70">
        <f>AW481+AX481</f>
        <v>0</v>
      </c>
      <c r="BD481" s="70">
        <f>H481/(100-BE481)*100</f>
        <v>0</v>
      </c>
      <c r="BE481" s="70">
        <v>0</v>
      </c>
      <c r="BF481" s="70">
        <f>481</f>
        <v>481</v>
      </c>
      <c r="BH481" s="70">
        <f>G481*AO481</f>
        <v>0</v>
      </c>
      <c r="BI481" s="70">
        <f>G481*AP481</f>
        <v>0</v>
      </c>
      <c r="BJ481" s="70">
        <f>G481*H481</f>
        <v>0</v>
      </c>
    </row>
    <row r="482" spans="2:12" ht="38.7" customHeight="1">
      <c r="B482" s="75" t="s">
        <v>67</v>
      </c>
      <c r="C482" s="725" t="s">
        <v>907</v>
      </c>
      <c r="D482" s="726"/>
      <c r="E482" s="726"/>
      <c r="F482" s="726"/>
      <c r="G482" s="726"/>
      <c r="H482" s="726"/>
      <c r="I482" s="726"/>
      <c r="J482" s="726"/>
      <c r="K482" s="726"/>
      <c r="L482" s="726"/>
    </row>
    <row r="483" spans="1:62" ht="15">
      <c r="A483" s="69" t="s">
        <v>33</v>
      </c>
      <c r="B483" s="69" t="s">
        <v>908</v>
      </c>
      <c r="C483" s="696" t="s">
        <v>909</v>
      </c>
      <c r="D483" s="693"/>
      <c r="E483" s="693"/>
      <c r="F483" s="69" t="s">
        <v>306</v>
      </c>
      <c r="G483" s="70">
        <v>2</v>
      </c>
      <c r="H483" s="580">
        <v>0</v>
      </c>
      <c r="I483" s="70">
        <f>G483*AO483</f>
        <v>0</v>
      </c>
      <c r="J483" s="70">
        <f>G483*AP483</f>
        <v>0</v>
      </c>
      <c r="K483" s="70">
        <f>G483*H483</f>
        <v>0</v>
      </c>
      <c r="L483" s="71"/>
      <c r="Z483" s="70">
        <f>IF(AQ483="5",BJ483,0)</f>
        <v>0</v>
      </c>
      <c r="AB483" s="70">
        <f>IF(AQ483="1",BH483,0)</f>
        <v>0</v>
      </c>
      <c r="AC483" s="70">
        <f>IF(AQ483="1",BI483,0)</f>
        <v>0</v>
      </c>
      <c r="AD483" s="70">
        <f>IF(AQ483="7",BH483,0)</f>
        <v>0</v>
      </c>
      <c r="AE483" s="70">
        <f>IF(AQ483="7",BI483,0)</f>
        <v>0</v>
      </c>
      <c r="AF483" s="70">
        <f>IF(AQ483="2",BH483,0)</f>
        <v>0</v>
      </c>
      <c r="AG483" s="70">
        <f>IF(AQ483="2",BI483,0)</f>
        <v>0</v>
      </c>
      <c r="AH483" s="70">
        <f>IF(AQ483="0",BJ483,0)</f>
        <v>0</v>
      </c>
      <c r="AI483" s="67" t="s">
        <v>240</v>
      </c>
      <c r="AJ483" s="70">
        <f>IF(AN483=0,K483,0)</f>
        <v>0</v>
      </c>
      <c r="AK483" s="70">
        <f>IF(AN483=15,K483,0)</f>
        <v>0</v>
      </c>
      <c r="AL483" s="70">
        <f>IF(AN483=21,K483,0)</f>
        <v>0</v>
      </c>
      <c r="AN483" s="70">
        <v>21</v>
      </c>
      <c r="AO483" s="70">
        <f>H483*1</f>
        <v>0</v>
      </c>
      <c r="AP483" s="70">
        <f>H483*(1-1)</f>
        <v>0</v>
      </c>
      <c r="AQ483" s="71" t="s">
        <v>355</v>
      </c>
      <c r="AV483" s="70">
        <f>AW483+AX483</f>
        <v>0</v>
      </c>
      <c r="AW483" s="70">
        <f>G483*AO483</f>
        <v>0</v>
      </c>
      <c r="AX483" s="70">
        <f>G483*AP483</f>
        <v>0</v>
      </c>
      <c r="AY483" s="71" t="s">
        <v>356</v>
      </c>
      <c r="AZ483" s="71" t="s">
        <v>902</v>
      </c>
      <c r="BA483" s="67" t="s">
        <v>903</v>
      </c>
      <c r="BC483" s="70">
        <f>AW483+AX483</f>
        <v>0</v>
      </c>
      <c r="BD483" s="70">
        <f>H483/(100-BE483)*100</f>
        <v>0</v>
      </c>
      <c r="BE483" s="70">
        <v>0</v>
      </c>
      <c r="BF483" s="70">
        <f>483</f>
        <v>483</v>
      </c>
      <c r="BH483" s="70">
        <f>G483*AO483</f>
        <v>0</v>
      </c>
      <c r="BI483" s="70">
        <f>G483*AP483</f>
        <v>0</v>
      </c>
      <c r="BJ483" s="70">
        <f>G483*H483</f>
        <v>0</v>
      </c>
    </row>
    <row r="484" spans="1:12" ht="38.7" customHeight="1">
      <c r="A484" s="83"/>
      <c r="B484" s="84" t="s">
        <v>67</v>
      </c>
      <c r="C484" s="736" t="s">
        <v>910</v>
      </c>
      <c r="D484" s="737"/>
      <c r="E484" s="737"/>
      <c r="F484" s="737"/>
      <c r="G484" s="737"/>
      <c r="H484" s="737"/>
      <c r="I484" s="737"/>
      <c r="J484" s="737"/>
      <c r="K484" s="737"/>
      <c r="L484" s="737"/>
    </row>
    <row r="485" spans="1:12" ht="15">
      <c r="A485" s="85"/>
      <c r="B485" s="85"/>
      <c r="C485" s="85"/>
      <c r="D485" s="85"/>
      <c r="E485" s="85"/>
      <c r="F485" s="85"/>
      <c r="G485" s="85"/>
      <c r="H485" s="85"/>
      <c r="I485" s="738" t="s">
        <v>911</v>
      </c>
      <c r="J485" s="739"/>
      <c r="K485" s="86">
        <f>K13+K19+K26+K29+K34+K37+K42+K46+K53+K56+K61+K64+K69+K72+K77+K81+K86+K89+K94+K98+K103+K107+K110+K115+K121+K126+K133+K135+K147+K152+K162+K164+K172+K175+K182+K184+K190+K193+K200+K207+K210+K212+K217+K222+K225+K231+K233+K238+K241+K246+K251+K253+K259+K264+K266+K272+K279+K281+K289+K295+K303+K305+K311+K313+K315+K317+K320+K326+K332+K334+K342+K344+K346+K349+K351+K357+K360+K362+K365+K367+K369+K371+K375+K378+K388+K390+K400+K403+K406+K409+K419+K422+K427+K432+K434+K437+K439+K447+K450+K452+K456+K461+K468+K470+K478</f>
        <v>0</v>
      </c>
      <c r="L485" s="85"/>
    </row>
    <row r="486" ht="10.8" customHeight="1">
      <c r="A486" s="87" t="s">
        <v>67</v>
      </c>
    </row>
    <row r="487" spans="1:12" ht="12.75" customHeight="1">
      <c r="A487" s="695"/>
      <c r="B487" s="693"/>
      <c r="C487" s="693"/>
      <c r="D487" s="693"/>
      <c r="E487" s="693"/>
      <c r="F487" s="693"/>
      <c r="G487" s="693"/>
      <c r="H487" s="693"/>
      <c r="I487" s="693"/>
      <c r="J487" s="693"/>
      <c r="K487" s="693"/>
      <c r="L487" s="693"/>
    </row>
  </sheetData>
  <sheetProtection algorithmName="SHA-512" hashValue="62iWT0d0d/aexpMkEWGJdvifPDlB+nGtiYFjDy8fbG8UmC12Njh4VBCr6pzutWlkVvM5TzpDssVvvQYN/GK4tA==" saltValue="Pun6OH+zAJE+OQb40Pcmcg==" spinCount="100000" sheet="1"/>
  <mergeCells count="503">
    <mergeCell ref="C483:E483"/>
    <mergeCell ref="C484:L484"/>
    <mergeCell ref="I485:J485"/>
    <mergeCell ref="A487:L487"/>
    <mergeCell ref="C477:E477"/>
    <mergeCell ref="C478:E478"/>
    <mergeCell ref="C479:E479"/>
    <mergeCell ref="C480:L480"/>
    <mergeCell ref="C481:E481"/>
    <mergeCell ref="C482:L482"/>
    <mergeCell ref="C471:E471"/>
    <mergeCell ref="C472:L472"/>
    <mergeCell ref="C473:E473"/>
    <mergeCell ref="C474:E474"/>
    <mergeCell ref="C475:E475"/>
    <mergeCell ref="C476:L476"/>
    <mergeCell ref="C465:L465"/>
    <mergeCell ref="C466:E466"/>
    <mergeCell ref="C467:E467"/>
    <mergeCell ref="C468:E468"/>
    <mergeCell ref="C469:E469"/>
    <mergeCell ref="C470:E470"/>
    <mergeCell ref="C459:E459"/>
    <mergeCell ref="C460:E460"/>
    <mergeCell ref="C461:E461"/>
    <mergeCell ref="C462:E462"/>
    <mergeCell ref="C463:L463"/>
    <mergeCell ref="C464:E464"/>
    <mergeCell ref="C453:E453"/>
    <mergeCell ref="C454:L454"/>
    <mergeCell ref="C455:E455"/>
    <mergeCell ref="C456:E456"/>
    <mergeCell ref="C457:E457"/>
    <mergeCell ref="C458:E458"/>
    <mergeCell ref="C447:E447"/>
    <mergeCell ref="C448:E448"/>
    <mergeCell ref="C449:L449"/>
    <mergeCell ref="C450:E450"/>
    <mergeCell ref="C451:E451"/>
    <mergeCell ref="C452:E452"/>
    <mergeCell ref="C441:L441"/>
    <mergeCell ref="C442:E442"/>
    <mergeCell ref="C443:L443"/>
    <mergeCell ref="C444:E444"/>
    <mergeCell ref="C445:E445"/>
    <mergeCell ref="C446:E446"/>
    <mergeCell ref="C435:E435"/>
    <mergeCell ref="C436:L436"/>
    <mergeCell ref="C437:E437"/>
    <mergeCell ref="C438:E438"/>
    <mergeCell ref="C439:E439"/>
    <mergeCell ref="C440:E440"/>
    <mergeCell ref="C429:L429"/>
    <mergeCell ref="C430:E430"/>
    <mergeCell ref="C431:L431"/>
    <mergeCell ref="C432:E432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L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L402"/>
    <mergeCell ref="C403:E403"/>
    <mergeCell ref="C404:E404"/>
    <mergeCell ref="C393:E393"/>
    <mergeCell ref="C394:L394"/>
    <mergeCell ref="C395:E395"/>
    <mergeCell ref="C396:L396"/>
    <mergeCell ref="C397:E397"/>
    <mergeCell ref="C398:L398"/>
    <mergeCell ref="C387:L387"/>
    <mergeCell ref="C388:E388"/>
    <mergeCell ref="C389:E389"/>
    <mergeCell ref="C390:E390"/>
    <mergeCell ref="C391:E391"/>
    <mergeCell ref="C392:L392"/>
    <mergeCell ref="C381:E381"/>
    <mergeCell ref="C382:L382"/>
    <mergeCell ref="C383:E383"/>
    <mergeCell ref="C384:E384"/>
    <mergeCell ref="C385:E385"/>
    <mergeCell ref="C386:E386"/>
    <mergeCell ref="C375:E375"/>
    <mergeCell ref="C376:E376"/>
    <mergeCell ref="C377:L377"/>
    <mergeCell ref="C378:E378"/>
    <mergeCell ref="C379:E379"/>
    <mergeCell ref="C380:L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L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L336"/>
    <mergeCell ref="C337:E337"/>
    <mergeCell ref="C338:L338"/>
    <mergeCell ref="C327:E327"/>
    <mergeCell ref="C328:E328"/>
    <mergeCell ref="C329:E329"/>
    <mergeCell ref="C330:E330"/>
    <mergeCell ref="C331:L331"/>
    <mergeCell ref="C332:E332"/>
    <mergeCell ref="C321:E321"/>
    <mergeCell ref="C322:E322"/>
    <mergeCell ref="C323:L323"/>
    <mergeCell ref="C324:E324"/>
    <mergeCell ref="C325:L325"/>
    <mergeCell ref="C326:E326"/>
    <mergeCell ref="C315:E315"/>
    <mergeCell ref="C316:E316"/>
    <mergeCell ref="C317:E317"/>
    <mergeCell ref="C318:E318"/>
    <mergeCell ref="C319:E319"/>
    <mergeCell ref="C320:E320"/>
    <mergeCell ref="C309:L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L307"/>
    <mergeCell ref="C308:E308"/>
    <mergeCell ref="C297:E297"/>
    <mergeCell ref="C298:L298"/>
    <mergeCell ref="C299:E299"/>
    <mergeCell ref="C300:L300"/>
    <mergeCell ref="C301:E301"/>
    <mergeCell ref="C302:L302"/>
    <mergeCell ref="C291:L291"/>
    <mergeCell ref="C292:E292"/>
    <mergeCell ref="C293:E293"/>
    <mergeCell ref="C294:E294"/>
    <mergeCell ref="C295:E295"/>
    <mergeCell ref="C296:E296"/>
    <mergeCell ref="C285:L285"/>
    <mergeCell ref="C286:E286"/>
    <mergeCell ref="C287:L287"/>
    <mergeCell ref="C288:E288"/>
    <mergeCell ref="C289:E289"/>
    <mergeCell ref="C290:E290"/>
    <mergeCell ref="C279:E279"/>
    <mergeCell ref="C280:E280"/>
    <mergeCell ref="C281:E281"/>
    <mergeCell ref="C282:E282"/>
    <mergeCell ref="C283:L283"/>
    <mergeCell ref="C284:E284"/>
    <mergeCell ref="C273:E273"/>
    <mergeCell ref="C274:E274"/>
    <mergeCell ref="C275:L275"/>
    <mergeCell ref="C276:E276"/>
    <mergeCell ref="C277:L277"/>
    <mergeCell ref="C278:E278"/>
    <mergeCell ref="C267:E267"/>
    <mergeCell ref="C268:L268"/>
    <mergeCell ref="C269:E269"/>
    <mergeCell ref="C270:L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L255"/>
    <mergeCell ref="C256:E256"/>
    <mergeCell ref="C257:L257"/>
    <mergeCell ref="C258:E258"/>
    <mergeCell ref="C259:E259"/>
    <mergeCell ref="C260:E260"/>
    <mergeCell ref="C249:E249"/>
    <mergeCell ref="C250:L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L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L236"/>
    <mergeCell ref="C225:E225"/>
    <mergeCell ref="C226:E226"/>
    <mergeCell ref="C227:E227"/>
    <mergeCell ref="C228:L228"/>
    <mergeCell ref="C229:E229"/>
    <mergeCell ref="C230:E230"/>
    <mergeCell ref="C219:E219"/>
    <mergeCell ref="C220:E220"/>
    <mergeCell ref="C221:E221"/>
    <mergeCell ref="C222:E222"/>
    <mergeCell ref="C223:E223"/>
    <mergeCell ref="C224:L224"/>
    <mergeCell ref="C213:E213"/>
    <mergeCell ref="C214:E214"/>
    <mergeCell ref="C215:L215"/>
    <mergeCell ref="C216:E216"/>
    <mergeCell ref="C217:E217"/>
    <mergeCell ref="C218:E218"/>
    <mergeCell ref="C207:E207"/>
    <mergeCell ref="C208:E208"/>
    <mergeCell ref="C209:L209"/>
    <mergeCell ref="C210:E210"/>
    <mergeCell ref="C211:E211"/>
    <mergeCell ref="C212:E212"/>
    <mergeCell ref="C201:E201"/>
    <mergeCell ref="C202:E202"/>
    <mergeCell ref="C203:E203"/>
    <mergeCell ref="C204:L204"/>
    <mergeCell ref="C205:E205"/>
    <mergeCell ref="C206:E206"/>
    <mergeCell ref="C195:L195"/>
    <mergeCell ref="C196:E196"/>
    <mergeCell ref="C197:L197"/>
    <mergeCell ref="C198:E198"/>
    <mergeCell ref="C199:E199"/>
    <mergeCell ref="C200:E200"/>
    <mergeCell ref="C189:E189"/>
    <mergeCell ref="C190:E190"/>
    <mergeCell ref="C191:E191"/>
    <mergeCell ref="C192:L192"/>
    <mergeCell ref="C193:E193"/>
    <mergeCell ref="C194:E194"/>
    <mergeCell ref="C183:E183"/>
    <mergeCell ref="C184:E184"/>
    <mergeCell ref="C185:E185"/>
    <mergeCell ref="C186:L186"/>
    <mergeCell ref="C187:E187"/>
    <mergeCell ref="C188:L188"/>
    <mergeCell ref="C177:L177"/>
    <mergeCell ref="C178:E178"/>
    <mergeCell ref="C179:L179"/>
    <mergeCell ref="C180:E180"/>
    <mergeCell ref="C181:L181"/>
    <mergeCell ref="C182:E182"/>
    <mergeCell ref="C171:E171"/>
    <mergeCell ref="C172:E172"/>
    <mergeCell ref="C173:E173"/>
    <mergeCell ref="C174:L174"/>
    <mergeCell ref="C175:E175"/>
    <mergeCell ref="C176:E176"/>
    <mergeCell ref="C165:E165"/>
    <mergeCell ref="C166:L166"/>
    <mergeCell ref="C167:E167"/>
    <mergeCell ref="C168:E168"/>
    <mergeCell ref="C169:L169"/>
    <mergeCell ref="C170:E170"/>
    <mergeCell ref="C159:E159"/>
    <mergeCell ref="C160:E160"/>
    <mergeCell ref="C161:L161"/>
    <mergeCell ref="C162:E162"/>
    <mergeCell ref="C163:E163"/>
    <mergeCell ref="C164:E164"/>
    <mergeCell ref="C153:E153"/>
    <mergeCell ref="C154:L154"/>
    <mergeCell ref="C155:E155"/>
    <mergeCell ref="C156:L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L141"/>
    <mergeCell ref="C142:E142"/>
    <mergeCell ref="C143:L143"/>
    <mergeCell ref="C144:E144"/>
    <mergeCell ref="C145:L145"/>
    <mergeCell ref="C146:E146"/>
    <mergeCell ref="C135:E135"/>
    <mergeCell ref="C136:E136"/>
    <mergeCell ref="C137:L137"/>
    <mergeCell ref="C138:E138"/>
    <mergeCell ref="C139:L139"/>
    <mergeCell ref="C140:E140"/>
    <mergeCell ref="C129:E129"/>
    <mergeCell ref="C130:L130"/>
    <mergeCell ref="C131:E131"/>
    <mergeCell ref="C132:E132"/>
    <mergeCell ref="C133:E133"/>
    <mergeCell ref="C134:E134"/>
    <mergeCell ref="C123:L123"/>
    <mergeCell ref="C124:E124"/>
    <mergeCell ref="C125:E125"/>
    <mergeCell ref="C126:E126"/>
    <mergeCell ref="C127:E127"/>
    <mergeCell ref="C128:L128"/>
    <mergeCell ref="C117:E117"/>
    <mergeCell ref="C118:L118"/>
    <mergeCell ref="C119:E119"/>
    <mergeCell ref="C120:L120"/>
    <mergeCell ref="C121:E121"/>
    <mergeCell ref="C122:E122"/>
    <mergeCell ref="C111:E111"/>
    <mergeCell ref="C112:L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L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L91"/>
    <mergeCell ref="C92:E92"/>
    <mergeCell ref="C81:E81"/>
    <mergeCell ref="C82:E82"/>
    <mergeCell ref="C83:L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L74"/>
    <mergeCell ref="C63:E63"/>
    <mergeCell ref="C64:E64"/>
    <mergeCell ref="C65:E65"/>
    <mergeCell ref="C66:L66"/>
    <mergeCell ref="C67:E67"/>
    <mergeCell ref="C68:E68"/>
    <mergeCell ref="C57:E57"/>
    <mergeCell ref="C58:L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L48"/>
    <mergeCell ref="C49:E49"/>
    <mergeCell ref="C50:L50"/>
    <mergeCell ref="C39:L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L31"/>
    <mergeCell ref="C32:E32"/>
    <mergeCell ref="C21:L21"/>
    <mergeCell ref="C22:E22"/>
    <mergeCell ref="C23:E23"/>
    <mergeCell ref="C24:L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74AF-0FCE-4F8D-B8A3-65C8E4954004}">
  <sheetPr>
    <tabColor theme="4" tint="0.7999799847602844"/>
  </sheetPr>
  <dimension ref="A1:D16"/>
  <sheetViews>
    <sheetView workbookViewId="0" topLeftCell="A1">
      <selection activeCell="L14" sqref="L14"/>
    </sheetView>
  </sheetViews>
  <sheetFormatPr defaultColWidth="9.140625" defaultRowHeight="15"/>
  <cols>
    <col min="1" max="1" width="9.57421875" style="39" bestFit="1" customWidth="1"/>
    <col min="2" max="2" width="35.57421875" style="39" bestFit="1" customWidth="1"/>
    <col min="3" max="3" width="9.7109375" style="39" bestFit="1" customWidth="1"/>
    <col min="4" max="4" width="11.57421875" style="39" bestFit="1" customWidth="1"/>
    <col min="5" max="256" width="8.8515625" style="39" customWidth="1"/>
    <col min="257" max="257" width="9.57421875" style="39" bestFit="1" customWidth="1"/>
    <col min="258" max="258" width="35.57421875" style="39" bestFit="1" customWidth="1"/>
    <col min="259" max="259" width="9.7109375" style="39" bestFit="1" customWidth="1"/>
    <col min="260" max="260" width="11.57421875" style="39" bestFit="1" customWidth="1"/>
    <col min="261" max="512" width="8.8515625" style="39" customWidth="1"/>
    <col min="513" max="513" width="9.57421875" style="39" bestFit="1" customWidth="1"/>
    <col min="514" max="514" width="35.57421875" style="39" bestFit="1" customWidth="1"/>
    <col min="515" max="515" width="9.7109375" style="39" bestFit="1" customWidth="1"/>
    <col min="516" max="516" width="11.57421875" style="39" bestFit="1" customWidth="1"/>
    <col min="517" max="768" width="8.8515625" style="39" customWidth="1"/>
    <col min="769" max="769" width="9.57421875" style="39" bestFit="1" customWidth="1"/>
    <col min="770" max="770" width="35.57421875" style="39" bestFit="1" customWidth="1"/>
    <col min="771" max="771" width="9.7109375" style="39" bestFit="1" customWidth="1"/>
    <col min="772" max="772" width="11.57421875" style="39" bestFit="1" customWidth="1"/>
    <col min="773" max="1024" width="8.8515625" style="39" customWidth="1"/>
    <col min="1025" max="1025" width="9.57421875" style="39" bestFit="1" customWidth="1"/>
    <col min="1026" max="1026" width="35.57421875" style="39" bestFit="1" customWidth="1"/>
    <col min="1027" max="1027" width="9.7109375" style="39" bestFit="1" customWidth="1"/>
    <col min="1028" max="1028" width="11.57421875" style="39" bestFit="1" customWidth="1"/>
    <col min="1029" max="1280" width="8.8515625" style="39" customWidth="1"/>
    <col min="1281" max="1281" width="9.57421875" style="39" bestFit="1" customWidth="1"/>
    <col min="1282" max="1282" width="35.57421875" style="39" bestFit="1" customWidth="1"/>
    <col min="1283" max="1283" width="9.7109375" style="39" bestFit="1" customWidth="1"/>
    <col min="1284" max="1284" width="11.57421875" style="39" bestFit="1" customWidth="1"/>
    <col min="1285" max="1536" width="8.8515625" style="39" customWidth="1"/>
    <col min="1537" max="1537" width="9.57421875" style="39" bestFit="1" customWidth="1"/>
    <col min="1538" max="1538" width="35.57421875" style="39" bestFit="1" customWidth="1"/>
    <col min="1539" max="1539" width="9.7109375" style="39" bestFit="1" customWidth="1"/>
    <col min="1540" max="1540" width="11.57421875" style="39" bestFit="1" customWidth="1"/>
    <col min="1541" max="1792" width="8.8515625" style="39" customWidth="1"/>
    <col min="1793" max="1793" width="9.57421875" style="39" bestFit="1" customWidth="1"/>
    <col min="1794" max="1794" width="35.57421875" style="39" bestFit="1" customWidth="1"/>
    <col min="1795" max="1795" width="9.7109375" style="39" bestFit="1" customWidth="1"/>
    <col min="1796" max="1796" width="11.57421875" style="39" bestFit="1" customWidth="1"/>
    <col min="1797" max="2048" width="8.8515625" style="39" customWidth="1"/>
    <col min="2049" max="2049" width="9.57421875" style="39" bestFit="1" customWidth="1"/>
    <col min="2050" max="2050" width="35.57421875" style="39" bestFit="1" customWidth="1"/>
    <col min="2051" max="2051" width="9.7109375" style="39" bestFit="1" customWidth="1"/>
    <col min="2052" max="2052" width="11.57421875" style="39" bestFit="1" customWidth="1"/>
    <col min="2053" max="2304" width="8.8515625" style="39" customWidth="1"/>
    <col min="2305" max="2305" width="9.57421875" style="39" bestFit="1" customWidth="1"/>
    <col min="2306" max="2306" width="35.57421875" style="39" bestFit="1" customWidth="1"/>
    <col min="2307" max="2307" width="9.7109375" style="39" bestFit="1" customWidth="1"/>
    <col min="2308" max="2308" width="11.57421875" style="39" bestFit="1" customWidth="1"/>
    <col min="2309" max="2560" width="8.8515625" style="39" customWidth="1"/>
    <col min="2561" max="2561" width="9.57421875" style="39" bestFit="1" customWidth="1"/>
    <col min="2562" max="2562" width="35.57421875" style="39" bestFit="1" customWidth="1"/>
    <col min="2563" max="2563" width="9.7109375" style="39" bestFit="1" customWidth="1"/>
    <col min="2564" max="2564" width="11.57421875" style="39" bestFit="1" customWidth="1"/>
    <col min="2565" max="2816" width="8.8515625" style="39" customWidth="1"/>
    <col min="2817" max="2817" width="9.57421875" style="39" bestFit="1" customWidth="1"/>
    <col min="2818" max="2818" width="35.57421875" style="39" bestFit="1" customWidth="1"/>
    <col min="2819" max="2819" width="9.7109375" style="39" bestFit="1" customWidth="1"/>
    <col min="2820" max="2820" width="11.57421875" style="39" bestFit="1" customWidth="1"/>
    <col min="2821" max="3072" width="8.8515625" style="39" customWidth="1"/>
    <col min="3073" max="3073" width="9.57421875" style="39" bestFit="1" customWidth="1"/>
    <col min="3074" max="3074" width="35.57421875" style="39" bestFit="1" customWidth="1"/>
    <col min="3075" max="3075" width="9.7109375" style="39" bestFit="1" customWidth="1"/>
    <col min="3076" max="3076" width="11.57421875" style="39" bestFit="1" customWidth="1"/>
    <col min="3077" max="3328" width="8.8515625" style="39" customWidth="1"/>
    <col min="3329" max="3329" width="9.57421875" style="39" bestFit="1" customWidth="1"/>
    <col min="3330" max="3330" width="35.57421875" style="39" bestFit="1" customWidth="1"/>
    <col min="3331" max="3331" width="9.7109375" style="39" bestFit="1" customWidth="1"/>
    <col min="3332" max="3332" width="11.57421875" style="39" bestFit="1" customWidth="1"/>
    <col min="3333" max="3584" width="8.8515625" style="39" customWidth="1"/>
    <col min="3585" max="3585" width="9.57421875" style="39" bestFit="1" customWidth="1"/>
    <col min="3586" max="3586" width="35.57421875" style="39" bestFit="1" customWidth="1"/>
    <col min="3587" max="3587" width="9.7109375" style="39" bestFit="1" customWidth="1"/>
    <col min="3588" max="3588" width="11.57421875" style="39" bestFit="1" customWidth="1"/>
    <col min="3589" max="3840" width="8.8515625" style="39" customWidth="1"/>
    <col min="3841" max="3841" width="9.57421875" style="39" bestFit="1" customWidth="1"/>
    <col min="3842" max="3842" width="35.57421875" style="39" bestFit="1" customWidth="1"/>
    <col min="3843" max="3843" width="9.7109375" style="39" bestFit="1" customWidth="1"/>
    <col min="3844" max="3844" width="11.57421875" style="39" bestFit="1" customWidth="1"/>
    <col min="3845" max="4096" width="8.8515625" style="39" customWidth="1"/>
    <col min="4097" max="4097" width="9.57421875" style="39" bestFit="1" customWidth="1"/>
    <col min="4098" max="4098" width="35.57421875" style="39" bestFit="1" customWidth="1"/>
    <col min="4099" max="4099" width="9.7109375" style="39" bestFit="1" customWidth="1"/>
    <col min="4100" max="4100" width="11.57421875" style="39" bestFit="1" customWidth="1"/>
    <col min="4101" max="4352" width="8.8515625" style="39" customWidth="1"/>
    <col min="4353" max="4353" width="9.57421875" style="39" bestFit="1" customWidth="1"/>
    <col min="4354" max="4354" width="35.57421875" style="39" bestFit="1" customWidth="1"/>
    <col min="4355" max="4355" width="9.7109375" style="39" bestFit="1" customWidth="1"/>
    <col min="4356" max="4356" width="11.57421875" style="39" bestFit="1" customWidth="1"/>
    <col min="4357" max="4608" width="8.8515625" style="39" customWidth="1"/>
    <col min="4609" max="4609" width="9.57421875" style="39" bestFit="1" customWidth="1"/>
    <col min="4610" max="4610" width="35.57421875" style="39" bestFit="1" customWidth="1"/>
    <col min="4611" max="4611" width="9.7109375" style="39" bestFit="1" customWidth="1"/>
    <col min="4612" max="4612" width="11.57421875" style="39" bestFit="1" customWidth="1"/>
    <col min="4613" max="4864" width="8.8515625" style="39" customWidth="1"/>
    <col min="4865" max="4865" width="9.57421875" style="39" bestFit="1" customWidth="1"/>
    <col min="4866" max="4866" width="35.57421875" style="39" bestFit="1" customWidth="1"/>
    <col min="4867" max="4867" width="9.7109375" style="39" bestFit="1" customWidth="1"/>
    <col min="4868" max="4868" width="11.57421875" style="39" bestFit="1" customWidth="1"/>
    <col min="4869" max="5120" width="8.8515625" style="39" customWidth="1"/>
    <col min="5121" max="5121" width="9.57421875" style="39" bestFit="1" customWidth="1"/>
    <col min="5122" max="5122" width="35.57421875" style="39" bestFit="1" customWidth="1"/>
    <col min="5123" max="5123" width="9.7109375" style="39" bestFit="1" customWidth="1"/>
    <col min="5124" max="5124" width="11.57421875" style="39" bestFit="1" customWidth="1"/>
    <col min="5125" max="5376" width="8.8515625" style="39" customWidth="1"/>
    <col min="5377" max="5377" width="9.57421875" style="39" bestFit="1" customWidth="1"/>
    <col min="5378" max="5378" width="35.57421875" style="39" bestFit="1" customWidth="1"/>
    <col min="5379" max="5379" width="9.7109375" style="39" bestFit="1" customWidth="1"/>
    <col min="5380" max="5380" width="11.57421875" style="39" bestFit="1" customWidth="1"/>
    <col min="5381" max="5632" width="8.8515625" style="39" customWidth="1"/>
    <col min="5633" max="5633" width="9.57421875" style="39" bestFit="1" customWidth="1"/>
    <col min="5634" max="5634" width="35.57421875" style="39" bestFit="1" customWidth="1"/>
    <col min="5635" max="5635" width="9.7109375" style="39" bestFit="1" customWidth="1"/>
    <col min="5636" max="5636" width="11.57421875" style="39" bestFit="1" customWidth="1"/>
    <col min="5637" max="5888" width="8.8515625" style="39" customWidth="1"/>
    <col min="5889" max="5889" width="9.57421875" style="39" bestFit="1" customWidth="1"/>
    <col min="5890" max="5890" width="35.57421875" style="39" bestFit="1" customWidth="1"/>
    <col min="5891" max="5891" width="9.7109375" style="39" bestFit="1" customWidth="1"/>
    <col min="5892" max="5892" width="11.57421875" style="39" bestFit="1" customWidth="1"/>
    <col min="5893" max="6144" width="8.8515625" style="39" customWidth="1"/>
    <col min="6145" max="6145" width="9.57421875" style="39" bestFit="1" customWidth="1"/>
    <col min="6146" max="6146" width="35.57421875" style="39" bestFit="1" customWidth="1"/>
    <col min="6147" max="6147" width="9.7109375" style="39" bestFit="1" customWidth="1"/>
    <col min="6148" max="6148" width="11.57421875" style="39" bestFit="1" customWidth="1"/>
    <col min="6149" max="6400" width="8.8515625" style="39" customWidth="1"/>
    <col min="6401" max="6401" width="9.57421875" style="39" bestFit="1" customWidth="1"/>
    <col min="6402" max="6402" width="35.57421875" style="39" bestFit="1" customWidth="1"/>
    <col min="6403" max="6403" width="9.7109375" style="39" bestFit="1" customWidth="1"/>
    <col min="6404" max="6404" width="11.57421875" style="39" bestFit="1" customWidth="1"/>
    <col min="6405" max="6656" width="8.8515625" style="39" customWidth="1"/>
    <col min="6657" max="6657" width="9.57421875" style="39" bestFit="1" customWidth="1"/>
    <col min="6658" max="6658" width="35.57421875" style="39" bestFit="1" customWidth="1"/>
    <col min="6659" max="6659" width="9.7109375" style="39" bestFit="1" customWidth="1"/>
    <col min="6660" max="6660" width="11.57421875" style="39" bestFit="1" customWidth="1"/>
    <col min="6661" max="6912" width="8.8515625" style="39" customWidth="1"/>
    <col min="6913" max="6913" width="9.57421875" style="39" bestFit="1" customWidth="1"/>
    <col min="6914" max="6914" width="35.57421875" style="39" bestFit="1" customWidth="1"/>
    <col min="6915" max="6915" width="9.7109375" style="39" bestFit="1" customWidth="1"/>
    <col min="6916" max="6916" width="11.57421875" style="39" bestFit="1" customWidth="1"/>
    <col min="6917" max="7168" width="8.8515625" style="39" customWidth="1"/>
    <col min="7169" max="7169" width="9.57421875" style="39" bestFit="1" customWidth="1"/>
    <col min="7170" max="7170" width="35.57421875" style="39" bestFit="1" customWidth="1"/>
    <col min="7171" max="7171" width="9.7109375" style="39" bestFit="1" customWidth="1"/>
    <col min="7172" max="7172" width="11.57421875" style="39" bestFit="1" customWidth="1"/>
    <col min="7173" max="7424" width="8.8515625" style="39" customWidth="1"/>
    <col min="7425" max="7425" width="9.57421875" style="39" bestFit="1" customWidth="1"/>
    <col min="7426" max="7426" width="35.57421875" style="39" bestFit="1" customWidth="1"/>
    <col min="7427" max="7427" width="9.7109375" style="39" bestFit="1" customWidth="1"/>
    <col min="7428" max="7428" width="11.57421875" style="39" bestFit="1" customWidth="1"/>
    <col min="7429" max="7680" width="8.8515625" style="39" customWidth="1"/>
    <col min="7681" max="7681" width="9.57421875" style="39" bestFit="1" customWidth="1"/>
    <col min="7682" max="7682" width="35.57421875" style="39" bestFit="1" customWidth="1"/>
    <col min="7683" max="7683" width="9.7109375" style="39" bestFit="1" customWidth="1"/>
    <col min="7684" max="7684" width="11.57421875" style="39" bestFit="1" customWidth="1"/>
    <col min="7685" max="7936" width="8.8515625" style="39" customWidth="1"/>
    <col min="7937" max="7937" width="9.57421875" style="39" bestFit="1" customWidth="1"/>
    <col min="7938" max="7938" width="35.57421875" style="39" bestFit="1" customWidth="1"/>
    <col min="7939" max="7939" width="9.7109375" style="39" bestFit="1" customWidth="1"/>
    <col min="7940" max="7940" width="11.57421875" style="39" bestFit="1" customWidth="1"/>
    <col min="7941" max="8192" width="8.8515625" style="39" customWidth="1"/>
    <col min="8193" max="8193" width="9.57421875" style="39" bestFit="1" customWidth="1"/>
    <col min="8194" max="8194" width="35.57421875" style="39" bestFit="1" customWidth="1"/>
    <col min="8195" max="8195" width="9.7109375" style="39" bestFit="1" customWidth="1"/>
    <col min="8196" max="8196" width="11.57421875" style="39" bestFit="1" customWidth="1"/>
    <col min="8197" max="8448" width="8.8515625" style="39" customWidth="1"/>
    <col min="8449" max="8449" width="9.57421875" style="39" bestFit="1" customWidth="1"/>
    <col min="8450" max="8450" width="35.57421875" style="39" bestFit="1" customWidth="1"/>
    <col min="8451" max="8451" width="9.7109375" style="39" bestFit="1" customWidth="1"/>
    <col min="8452" max="8452" width="11.57421875" style="39" bestFit="1" customWidth="1"/>
    <col min="8453" max="8704" width="8.8515625" style="39" customWidth="1"/>
    <col min="8705" max="8705" width="9.57421875" style="39" bestFit="1" customWidth="1"/>
    <col min="8706" max="8706" width="35.57421875" style="39" bestFit="1" customWidth="1"/>
    <col min="8707" max="8707" width="9.7109375" style="39" bestFit="1" customWidth="1"/>
    <col min="8708" max="8708" width="11.57421875" style="39" bestFit="1" customWidth="1"/>
    <col min="8709" max="8960" width="8.8515625" style="39" customWidth="1"/>
    <col min="8961" max="8961" width="9.57421875" style="39" bestFit="1" customWidth="1"/>
    <col min="8962" max="8962" width="35.57421875" style="39" bestFit="1" customWidth="1"/>
    <col min="8963" max="8963" width="9.7109375" style="39" bestFit="1" customWidth="1"/>
    <col min="8964" max="8964" width="11.57421875" style="39" bestFit="1" customWidth="1"/>
    <col min="8965" max="9216" width="8.8515625" style="39" customWidth="1"/>
    <col min="9217" max="9217" width="9.57421875" style="39" bestFit="1" customWidth="1"/>
    <col min="9218" max="9218" width="35.57421875" style="39" bestFit="1" customWidth="1"/>
    <col min="9219" max="9219" width="9.7109375" style="39" bestFit="1" customWidth="1"/>
    <col min="9220" max="9220" width="11.57421875" style="39" bestFit="1" customWidth="1"/>
    <col min="9221" max="9472" width="8.8515625" style="39" customWidth="1"/>
    <col min="9473" max="9473" width="9.57421875" style="39" bestFit="1" customWidth="1"/>
    <col min="9474" max="9474" width="35.57421875" style="39" bestFit="1" customWidth="1"/>
    <col min="9475" max="9475" width="9.7109375" style="39" bestFit="1" customWidth="1"/>
    <col min="9476" max="9476" width="11.57421875" style="39" bestFit="1" customWidth="1"/>
    <col min="9477" max="9728" width="8.8515625" style="39" customWidth="1"/>
    <col min="9729" max="9729" width="9.57421875" style="39" bestFit="1" customWidth="1"/>
    <col min="9730" max="9730" width="35.57421875" style="39" bestFit="1" customWidth="1"/>
    <col min="9731" max="9731" width="9.7109375" style="39" bestFit="1" customWidth="1"/>
    <col min="9732" max="9732" width="11.57421875" style="39" bestFit="1" customWidth="1"/>
    <col min="9733" max="9984" width="8.8515625" style="39" customWidth="1"/>
    <col min="9985" max="9985" width="9.57421875" style="39" bestFit="1" customWidth="1"/>
    <col min="9986" max="9986" width="35.57421875" style="39" bestFit="1" customWidth="1"/>
    <col min="9987" max="9987" width="9.7109375" style="39" bestFit="1" customWidth="1"/>
    <col min="9988" max="9988" width="11.57421875" style="39" bestFit="1" customWidth="1"/>
    <col min="9989" max="10240" width="8.8515625" style="39" customWidth="1"/>
    <col min="10241" max="10241" width="9.57421875" style="39" bestFit="1" customWidth="1"/>
    <col min="10242" max="10242" width="35.57421875" style="39" bestFit="1" customWidth="1"/>
    <col min="10243" max="10243" width="9.7109375" style="39" bestFit="1" customWidth="1"/>
    <col min="10244" max="10244" width="11.57421875" style="39" bestFit="1" customWidth="1"/>
    <col min="10245" max="10496" width="8.8515625" style="39" customWidth="1"/>
    <col min="10497" max="10497" width="9.57421875" style="39" bestFit="1" customWidth="1"/>
    <col min="10498" max="10498" width="35.57421875" style="39" bestFit="1" customWidth="1"/>
    <col min="10499" max="10499" width="9.7109375" style="39" bestFit="1" customWidth="1"/>
    <col min="10500" max="10500" width="11.57421875" style="39" bestFit="1" customWidth="1"/>
    <col min="10501" max="10752" width="8.8515625" style="39" customWidth="1"/>
    <col min="10753" max="10753" width="9.57421875" style="39" bestFit="1" customWidth="1"/>
    <col min="10754" max="10754" width="35.57421875" style="39" bestFit="1" customWidth="1"/>
    <col min="10755" max="10755" width="9.7109375" style="39" bestFit="1" customWidth="1"/>
    <col min="10756" max="10756" width="11.57421875" style="39" bestFit="1" customWidth="1"/>
    <col min="10757" max="11008" width="8.8515625" style="39" customWidth="1"/>
    <col min="11009" max="11009" width="9.57421875" style="39" bestFit="1" customWidth="1"/>
    <col min="11010" max="11010" width="35.57421875" style="39" bestFit="1" customWidth="1"/>
    <col min="11011" max="11011" width="9.7109375" style="39" bestFit="1" customWidth="1"/>
    <col min="11012" max="11012" width="11.57421875" style="39" bestFit="1" customWidth="1"/>
    <col min="11013" max="11264" width="8.8515625" style="39" customWidth="1"/>
    <col min="11265" max="11265" width="9.57421875" style="39" bestFit="1" customWidth="1"/>
    <col min="11266" max="11266" width="35.57421875" style="39" bestFit="1" customWidth="1"/>
    <col min="11267" max="11267" width="9.7109375" style="39" bestFit="1" customWidth="1"/>
    <col min="11268" max="11268" width="11.57421875" style="39" bestFit="1" customWidth="1"/>
    <col min="11269" max="11520" width="8.8515625" style="39" customWidth="1"/>
    <col min="11521" max="11521" width="9.57421875" style="39" bestFit="1" customWidth="1"/>
    <col min="11522" max="11522" width="35.57421875" style="39" bestFit="1" customWidth="1"/>
    <col min="11523" max="11523" width="9.7109375" style="39" bestFit="1" customWidth="1"/>
    <col min="11524" max="11524" width="11.57421875" style="39" bestFit="1" customWidth="1"/>
    <col min="11525" max="11776" width="8.8515625" style="39" customWidth="1"/>
    <col min="11777" max="11777" width="9.57421875" style="39" bestFit="1" customWidth="1"/>
    <col min="11778" max="11778" width="35.57421875" style="39" bestFit="1" customWidth="1"/>
    <col min="11779" max="11779" width="9.7109375" style="39" bestFit="1" customWidth="1"/>
    <col min="11780" max="11780" width="11.57421875" style="39" bestFit="1" customWidth="1"/>
    <col min="11781" max="12032" width="8.8515625" style="39" customWidth="1"/>
    <col min="12033" max="12033" width="9.57421875" style="39" bestFit="1" customWidth="1"/>
    <col min="12034" max="12034" width="35.57421875" style="39" bestFit="1" customWidth="1"/>
    <col min="12035" max="12035" width="9.7109375" style="39" bestFit="1" customWidth="1"/>
    <col min="12036" max="12036" width="11.57421875" style="39" bestFit="1" customWidth="1"/>
    <col min="12037" max="12288" width="8.8515625" style="39" customWidth="1"/>
    <col min="12289" max="12289" width="9.57421875" style="39" bestFit="1" customWidth="1"/>
    <col min="12290" max="12290" width="35.57421875" style="39" bestFit="1" customWidth="1"/>
    <col min="12291" max="12291" width="9.7109375" style="39" bestFit="1" customWidth="1"/>
    <col min="12292" max="12292" width="11.57421875" style="39" bestFit="1" customWidth="1"/>
    <col min="12293" max="12544" width="8.8515625" style="39" customWidth="1"/>
    <col min="12545" max="12545" width="9.57421875" style="39" bestFit="1" customWidth="1"/>
    <col min="12546" max="12546" width="35.57421875" style="39" bestFit="1" customWidth="1"/>
    <col min="12547" max="12547" width="9.7109375" style="39" bestFit="1" customWidth="1"/>
    <col min="12548" max="12548" width="11.57421875" style="39" bestFit="1" customWidth="1"/>
    <col min="12549" max="12800" width="8.8515625" style="39" customWidth="1"/>
    <col min="12801" max="12801" width="9.57421875" style="39" bestFit="1" customWidth="1"/>
    <col min="12802" max="12802" width="35.57421875" style="39" bestFit="1" customWidth="1"/>
    <col min="12803" max="12803" width="9.7109375" style="39" bestFit="1" customWidth="1"/>
    <col min="12804" max="12804" width="11.57421875" style="39" bestFit="1" customWidth="1"/>
    <col min="12805" max="13056" width="8.8515625" style="39" customWidth="1"/>
    <col min="13057" max="13057" width="9.57421875" style="39" bestFit="1" customWidth="1"/>
    <col min="13058" max="13058" width="35.57421875" style="39" bestFit="1" customWidth="1"/>
    <col min="13059" max="13059" width="9.7109375" style="39" bestFit="1" customWidth="1"/>
    <col min="13060" max="13060" width="11.57421875" style="39" bestFit="1" customWidth="1"/>
    <col min="13061" max="13312" width="8.8515625" style="39" customWidth="1"/>
    <col min="13313" max="13313" width="9.57421875" style="39" bestFit="1" customWidth="1"/>
    <col min="13314" max="13314" width="35.57421875" style="39" bestFit="1" customWidth="1"/>
    <col min="13315" max="13315" width="9.7109375" style="39" bestFit="1" customWidth="1"/>
    <col min="13316" max="13316" width="11.57421875" style="39" bestFit="1" customWidth="1"/>
    <col min="13317" max="13568" width="8.8515625" style="39" customWidth="1"/>
    <col min="13569" max="13569" width="9.57421875" style="39" bestFit="1" customWidth="1"/>
    <col min="13570" max="13570" width="35.57421875" style="39" bestFit="1" customWidth="1"/>
    <col min="13571" max="13571" width="9.7109375" style="39" bestFit="1" customWidth="1"/>
    <col min="13572" max="13572" width="11.57421875" style="39" bestFit="1" customWidth="1"/>
    <col min="13573" max="13824" width="8.8515625" style="39" customWidth="1"/>
    <col min="13825" max="13825" width="9.57421875" style="39" bestFit="1" customWidth="1"/>
    <col min="13826" max="13826" width="35.57421875" style="39" bestFit="1" customWidth="1"/>
    <col min="13827" max="13827" width="9.7109375" style="39" bestFit="1" customWidth="1"/>
    <col min="13828" max="13828" width="11.57421875" style="39" bestFit="1" customWidth="1"/>
    <col min="13829" max="14080" width="8.8515625" style="39" customWidth="1"/>
    <col min="14081" max="14081" width="9.57421875" style="39" bestFit="1" customWidth="1"/>
    <col min="14082" max="14082" width="35.57421875" style="39" bestFit="1" customWidth="1"/>
    <col min="14083" max="14083" width="9.7109375" style="39" bestFit="1" customWidth="1"/>
    <col min="14084" max="14084" width="11.57421875" style="39" bestFit="1" customWidth="1"/>
    <col min="14085" max="14336" width="8.8515625" style="39" customWidth="1"/>
    <col min="14337" max="14337" width="9.57421875" style="39" bestFit="1" customWidth="1"/>
    <col min="14338" max="14338" width="35.57421875" style="39" bestFit="1" customWidth="1"/>
    <col min="14339" max="14339" width="9.7109375" style="39" bestFit="1" customWidth="1"/>
    <col min="14340" max="14340" width="11.57421875" style="39" bestFit="1" customWidth="1"/>
    <col min="14341" max="14592" width="8.8515625" style="39" customWidth="1"/>
    <col min="14593" max="14593" width="9.57421875" style="39" bestFit="1" customWidth="1"/>
    <col min="14594" max="14594" width="35.57421875" style="39" bestFit="1" customWidth="1"/>
    <col min="14595" max="14595" width="9.7109375" style="39" bestFit="1" customWidth="1"/>
    <col min="14596" max="14596" width="11.57421875" style="39" bestFit="1" customWidth="1"/>
    <col min="14597" max="14848" width="8.8515625" style="39" customWidth="1"/>
    <col min="14849" max="14849" width="9.57421875" style="39" bestFit="1" customWidth="1"/>
    <col min="14850" max="14850" width="35.57421875" style="39" bestFit="1" customWidth="1"/>
    <col min="14851" max="14851" width="9.7109375" style="39" bestFit="1" customWidth="1"/>
    <col min="14852" max="14852" width="11.57421875" style="39" bestFit="1" customWidth="1"/>
    <col min="14853" max="15104" width="8.8515625" style="39" customWidth="1"/>
    <col min="15105" max="15105" width="9.57421875" style="39" bestFit="1" customWidth="1"/>
    <col min="15106" max="15106" width="35.57421875" style="39" bestFit="1" customWidth="1"/>
    <col min="15107" max="15107" width="9.7109375" style="39" bestFit="1" customWidth="1"/>
    <col min="15108" max="15108" width="11.57421875" style="39" bestFit="1" customWidth="1"/>
    <col min="15109" max="15360" width="8.8515625" style="39" customWidth="1"/>
    <col min="15361" max="15361" width="9.57421875" style="39" bestFit="1" customWidth="1"/>
    <col min="15362" max="15362" width="35.57421875" style="39" bestFit="1" customWidth="1"/>
    <col min="15363" max="15363" width="9.7109375" style="39" bestFit="1" customWidth="1"/>
    <col min="15364" max="15364" width="11.57421875" style="39" bestFit="1" customWidth="1"/>
    <col min="15365" max="15616" width="8.8515625" style="39" customWidth="1"/>
    <col min="15617" max="15617" width="9.57421875" style="39" bestFit="1" customWidth="1"/>
    <col min="15618" max="15618" width="35.57421875" style="39" bestFit="1" customWidth="1"/>
    <col min="15619" max="15619" width="9.7109375" style="39" bestFit="1" customWidth="1"/>
    <col min="15620" max="15620" width="11.57421875" style="39" bestFit="1" customWidth="1"/>
    <col min="15621" max="15872" width="8.8515625" style="39" customWidth="1"/>
    <col min="15873" max="15873" width="9.57421875" style="39" bestFit="1" customWidth="1"/>
    <col min="15874" max="15874" width="35.57421875" style="39" bestFit="1" customWidth="1"/>
    <col min="15875" max="15875" width="9.7109375" style="39" bestFit="1" customWidth="1"/>
    <col min="15876" max="15876" width="11.57421875" style="39" bestFit="1" customWidth="1"/>
    <col min="15877" max="16128" width="8.8515625" style="39" customWidth="1"/>
    <col min="16129" max="16129" width="9.57421875" style="39" bestFit="1" customWidth="1"/>
    <col min="16130" max="16130" width="35.57421875" style="39" bestFit="1" customWidth="1"/>
    <col min="16131" max="16131" width="9.7109375" style="39" bestFit="1" customWidth="1"/>
    <col min="16132" max="16132" width="11.57421875" style="39" bestFit="1" customWidth="1"/>
    <col min="16133" max="16384" width="8.8515625" style="39" customWidth="1"/>
  </cols>
  <sheetData>
    <row r="1" ht="19.2" customHeight="1">
      <c r="A1" s="38" t="s">
        <v>912</v>
      </c>
    </row>
    <row r="2" spans="1:4" ht="28.2" customHeight="1">
      <c r="A2" s="740" t="s">
        <v>913</v>
      </c>
      <c r="B2" s="740"/>
      <c r="C2" s="740"/>
      <c r="D2" s="740"/>
    </row>
    <row r="3" spans="1:4" ht="15">
      <c r="A3" s="40" t="s">
        <v>914</v>
      </c>
      <c r="B3" s="40" t="s">
        <v>915</v>
      </c>
      <c r="C3" s="40" t="s">
        <v>916</v>
      </c>
      <c r="D3" s="40" t="s">
        <v>917</v>
      </c>
    </row>
    <row r="4" spans="1:4" ht="15">
      <c r="A4" s="41">
        <v>1</v>
      </c>
      <c r="B4" s="40" t="s">
        <v>918</v>
      </c>
      <c r="C4" s="40" t="s">
        <v>919</v>
      </c>
      <c r="D4" s="42">
        <v>0</v>
      </c>
    </row>
    <row r="5" spans="1:4" ht="15">
      <c r="A5" s="41">
        <v>2</v>
      </c>
      <c r="B5" s="40" t="s">
        <v>920</v>
      </c>
      <c r="C5" s="40" t="s">
        <v>919</v>
      </c>
      <c r="D5" s="42">
        <v>0</v>
      </c>
    </row>
    <row r="6" spans="1:4" ht="15">
      <c r="A6" s="41">
        <v>3</v>
      </c>
      <c r="B6" s="40" t="s">
        <v>921</v>
      </c>
      <c r="C6" s="40" t="s">
        <v>922</v>
      </c>
      <c r="D6" s="42">
        <v>0</v>
      </c>
    </row>
    <row r="7" spans="1:4" ht="15">
      <c r="A7" s="41">
        <v>4</v>
      </c>
      <c r="B7" s="40" t="s">
        <v>923</v>
      </c>
      <c r="C7" s="40" t="s">
        <v>919</v>
      </c>
      <c r="D7" s="42">
        <v>0</v>
      </c>
    </row>
    <row r="8" spans="1:4" ht="15">
      <c r="A8" s="41">
        <v>5</v>
      </c>
      <c r="B8" s="40" t="s">
        <v>924</v>
      </c>
      <c r="C8" s="40" t="s">
        <v>925</v>
      </c>
      <c r="D8" s="42">
        <v>0</v>
      </c>
    </row>
    <row r="9" spans="1:4" ht="15">
      <c r="A9" s="41">
        <v>6</v>
      </c>
      <c r="B9" s="40" t="s">
        <v>926</v>
      </c>
      <c r="C9" s="40" t="s">
        <v>927</v>
      </c>
      <c r="D9" s="42">
        <v>0</v>
      </c>
    </row>
    <row r="10" spans="1:4" ht="15">
      <c r="A10" s="41">
        <v>7</v>
      </c>
      <c r="B10" s="40" t="s">
        <v>928</v>
      </c>
      <c r="C10" s="40" t="s">
        <v>919</v>
      </c>
      <c r="D10" s="42">
        <v>0</v>
      </c>
    </row>
    <row r="11" spans="1:4" ht="15">
      <c r="A11" s="41">
        <v>8</v>
      </c>
      <c r="B11" s="40" t="s">
        <v>929</v>
      </c>
      <c r="C11" s="40" t="s">
        <v>919</v>
      </c>
      <c r="D11" s="42">
        <v>0</v>
      </c>
    </row>
    <row r="12" spans="1:4" ht="15">
      <c r="A12" s="41">
        <v>9</v>
      </c>
      <c r="B12" s="40" t="s">
        <v>930</v>
      </c>
      <c r="C12" s="40" t="s">
        <v>925</v>
      </c>
      <c r="D12" s="42">
        <v>0</v>
      </c>
    </row>
    <row r="13" spans="1:4" ht="15">
      <c r="A13" s="41">
        <v>10</v>
      </c>
      <c r="B13" s="40" t="s">
        <v>931</v>
      </c>
      <c r="C13" s="40" t="s">
        <v>925</v>
      </c>
      <c r="D13" s="42">
        <v>0</v>
      </c>
    </row>
    <row r="14" spans="1:4" ht="15">
      <c r="A14" s="41">
        <v>11</v>
      </c>
      <c r="B14" s="40" t="s">
        <v>932</v>
      </c>
      <c r="C14" s="40" t="s">
        <v>919</v>
      </c>
      <c r="D14" s="42">
        <v>0</v>
      </c>
    </row>
    <row r="15" spans="1:4" ht="15">
      <c r="A15" s="41">
        <v>12</v>
      </c>
      <c r="B15" s="40" t="s">
        <v>933</v>
      </c>
      <c r="C15" s="40"/>
      <c r="D15" s="42">
        <v>0</v>
      </c>
    </row>
    <row r="16" spans="2:4" ht="15">
      <c r="B16" s="43" t="s">
        <v>934</v>
      </c>
      <c r="C16" s="43"/>
      <c r="D16" s="43">
        <f>SUM(D4:D15)</f>
        <v>0</v>
      </c>
    </row>
  </sheetData>
  <sheetProtection password="CC6B" sheet="1" objects="1" scenarios="1"/>
  <mergeCells count="1">
    <mergeCell ref="A2:D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DFD7-AE1D-42F1-B5FB-2FF119EC208E}">
  <sheetPr>
    <pageSetUpPr fitToPage="1"/>
  </sheetPr>
  <dimension ref="A1:J37"/>
  <sheetViews>
    <sheetView workbookViewId="0" topLeftCell="A1">
      <selection activeCell="N17" sqref="N17"/>
    </sheetView>
  </sheetViews>
  <sheetFormatPr defaultColWidth="11.57421875" defaultRowHeight="15"/>
  <cols>
    <col min="1" max="1" width="9.140625" style="17" customWidth="1"/>
    <col min="2" max="2" width="12.7109375" style="17" customWidth="1"/>
    <col min="3" max="3" width="22.8515625" style="17" customWidth="1"/>
    <col min="4" max="4" width="10.140625" style="17" customWidth="1"/>
    <col min="5" max="5" width="14.00390625" style="17" customWidth="1"/>
    <col min="6" max="6" width="22.8515625" style="17" customWidth="1"/>
    <col min="7" max="7" width="9.140625" style="17" customWidth="1"/>
    <col min="8" max="8" width="12.7109375" style="17" customWidth="1"/>
    <col min="9" max="9" width="22.8515625" style="17" customWidth="1"/>
    <col min="10" max="256" width="11.57421875" style="17" customWidth="1"/>
    <col min="257" max="257" width="9.140625" style="17" customWidth="1"/>
    <col min="258" max="258" width="12.7109375" style="17" customWidth="1"/>
    <col min="259" max="259" width="22.8515625" style="17" customWidth="1"/>
    <col min="260" max="260" width="10.140625" style="17" customWidth="1"/>
    <col min="261" max="261" width="14.00390625" style="17" customWidth="1"/>
    <col min="262" max="262" width="22.8515625" style="17" customWidth="1"/>
    <col min="263" max="263" width="9.140625" style="17" customWidth="1"/>
    <col min="264" max="264" width="12.7109375" style="17" customWidth="1"/>
    <col min="265" max="265" width="22.8515625" style="17" customWidth="1"/>
    <col min="266" max="512" width="11.57421875" style="17" customWidth="1"/>
    <col min="513" max="513" width="9.140625" style="17" customWidth="1"/>
    <col min="514" max="514" width="12.7109375" style="17" customWidth="1"/>
    <col min="515" max="515" width="22.8515625" style="17" customWidth="1"/>
    <col min="516" max="516" width="10.140625" style="17" customWidth="1"/>
    <col min="517" max="517" width="14.00390625" style="17" customWidth="1"/>
    <col min="518" max="518" width="22.8515625" style="17" customWidth="1"/>
    <col min="519" max="519" width="9.140625" style="17" customWidth="1"/>
    <col min="520" max="520" width="12.7109375" style="17" customWidth="1"/>
    <col min="521" max="521" width="22.8515625" style="17" customWidth="1"/>
    <col min="522" max="768" width="11.57421875" style="17" customWidth="1"/>
    <col min="769" max="769" width="9.140625" style="17" customWidth="1"/>
    <col min="770" max="770" width="12.7109375" style="17" customWidth="1"/>
    <col min="771" max="771" width="22.8515625" style="17" customWidth="1"/>
    <col min="772" max="772" width="10.140625" style="17" customWidth="1"/>
    <col min="773" max="773" width="14.00390625" style="17" customWidth="1"/>
    <col min="774" max="774" width="22.8515625" style="17" customWidth="1"/>
    <col min="775" max="775" width="9.140625" style="17" customWidth="1"/>
    <col min="776" max="776" width="12.7109375" style="17" customWidth="1"/>
    <col min="777" max="777" width="22.8515625" style="17" customWidth="1"/>
    <col min="778" max="1024" width="11.57421875" style="17" customWidth="1"/>
    <col min="1025" max="1025" width="9.140625" style="17" customWidth="1"/>
    <col min="1026" max="1026" width="12.7109375" style="17" customWidth="1"/>
    <col min="1027" max="1027" width="22.8515625" style="17" customWidth="1"/>
    <col min="1028" max="1028" width="10.140625" style="17" customWidth="1"/>
    <col min="1029" max="1029" width="14.00390625" style="17" customWidth="1"/>
    <col min="1030" max="1030" width="22.8515625" style="17" customWidth="1"/>
    <col min="1031" max="1031" width="9.140625" style="17" customWidth="1"/>
    <col min="1032" max="1032" width="12.7109375" style="17" customWidth="1"/>
    <col min="1033" max="1033" width="22.8515625" style="17" customWidth="1"/>
    <col min="1034" max="1280" width="11.57421875" style="17" customWidth="1"/>
    <col min="1281" max="1281" width="9.140625" style="17" customWidth="1"/>
    <col min="1282" max="1282" width="12.7109375" style="17" customWidth="1"/>
    <col min="1283" max="1283" width="22.8515625" style="17" customWidth="1"/>
    <col min="1284" max="1284" width="10.140625" style="17" customWidth="1"/>
    <col min="1285" max="1285" width="14.00390625" style="17" customWidth="1"/>
    <col min="1286" max="1286" width="22.8515625" style="17" customWidth="1"/>
    <col min="1287" max="1287" width="9.140625" style="17" customWidth="1"/>
    <col min="1288" max="1288" width="12.7109375" style="17" customWidth="1"/>
    <col min="1289" max="1289" width="22.8515625" style="17" customWidth="1"/>
    <col min="1290" max="1536" width="11.57421875" style="17" customWidth="1"/>
    <col min="1537" max="1537" width="9.140625" style="17" customWidth="1"/>
    <col min="1538" max="1538" width="12.7109375" style="17" customWidth="1"/>
    <col min="1539" max="1539" width="22.8515625" style="17" customWidth="1"/>
    <col min="1540" max="1540" width="10.140625" style="17" customWidth="1"/>
    <col min="1541" max="1541" width="14.00390625" style="17" customWidth="1"/>
    <col min="1542" max="1542" width="22.8515625" style="17" customWidth="1"/>
    <col min="1543" max="1543" width="9.140625" style="17" customWidth="1"/>
    <col min="1544" max="1544" width="12.7109375" style="17" customWidth="1"/>
    <col min="1545" max="1545" width="22.8515625" style="17" customWidth="1"/>
    <col min="1546" max="1792" width="11.57421875" style="17" customWidth="1"/>
    <col min="1793" max="1793" width="9.140625" style="17" customWidth="1"/>
    <col min="1794" max="1794" width="12.7109375" style="17" customWidth="1"/>
    <col min="1795" max="1795" width="22.8515625" style="17" customWidth="1"/>
    <col min="1796" max="1796" width="10.140625" style="17" customWidth="1"/>
    <col min="1797" max="1797" width="14.00390625" style="17" customWidth="1"/>
    <col min="1798" max="1798" width="22.8515625" style="17" customWidth="1"/>
    <col min="1799" max="1799" width="9.140625" style="17" customWidth="1"/>
    <col min="1800" max="1800" width="12.7109375" style="17" customWidth="1"/>
    <col min="1801" max="1801" width="22.8515625" style="17" customWidth="1"/>
    <col min="1802" max="2048" width="11.57421875" style="17" customWidth="1"/>
    <col min="2049" max="2049" width="9.140625" style="17" customWidth="1"/>
    <col min="2050" max="2050" width="12.7109375" style="17" customWidth="1"/>
    <col min="2051" max="2051" width="22.8515625" style="17" customWidth="1"/>
    <col min="2052" max="2052" width="10.140625" style="17" customWidth="1"/>
    <col min="2053" max="2053" width="14.00390625" style="17" customWidth="1"/>
    <col min="2054" max="2054" width="22.8515625" style="17" customWidth="1"/>
    <col min="2055" max="2055" width="9.140625" style="17" customWidth="1"/>
    <col min="2056" max="2056" width="12.7109375" style="17" customWidth="1"/>
    <col min="2057" max="2057" width="22.8515625" style="17" customWidth="1"/>
    <col min="2058" max="2304" width="11.57421875" style="17" customWidth="1"/>
    <col min="2305" max="2305" width="9.140625" style="17" customWidth="1"/>
    <col min="2306" max="2306" width="12.7109375" style="17" customWidth="1"/>
    <col min="2307" max="2307" width="22.8515625" style="17" customWidth="1"/>
    <col min="2308" max="2308" width="10.140625" style="17" customWidth="1"/>
    <col min="2309" max="2309" width="14.00390625" style="17" customWidth="1"/>
    <col min="2310" max="2310" width="22.8515625" style="17" customWidth="1"/>
    <col min="2311" max="2311" width="9.140625" style="17" customWidth="1"/>
    <col min="2312" max="2312" width="12.7109375" style="17" customWidth="1"/>
    <col min="2313" max="2313" width="22.8515625" style="17" customWidth="1"/>
    <col min="2314" max="2560" width="11.57421875" style="17" customWidth="1"/>
    <col min="2561" max="2561" width="9.140625" style="17" customWidth="1"/>
    <col min="2562" max="2562" width="12.7109375" style="17" customWidth="1"/>
    <col min="2563" max="2563" width="22.8515625" style="17" customWidth="1"/>
    <col min="2564" max="2564" width="10.140625" style="17" customWidth="1"/>
    <col min="2565" max="2565" width="14.00390625" style="17" customWidth="1"/>
    <col min="2566" max="2566" width="22.8515625" style="17" customWidth="1"/>
    <col min="2567" max="2567" width="9.140625" style="17" customWidth="1"/>
    <col min="2568" max="2568" width="12.7109375" style="17" customWidth="1"/>
    <col min="2569" max="2569" width="22.8515625" style="17" customWidth="1"/>
    <col min="2570" max="2816" width="11.57421875" style="17" customWidth="1"/>
    <col min="2817" max="2817" width="9.140625" style="17" customWidth="1"/>
    <col min="2818" max="2818" width="12.7109375" style="17" customWidth="1"/>
    <col min="2819" max="2819" width="22.8515625" style="17" customWidth="1"/>
    <col min="2820" max="2820" width="10.140625" style="17" customWidth="1"/>
    <col min="2821" max="2821" width="14.00390625" style="17" customWidth="1"/>
    <col min="2822" max="2822" width="22.8515625" style="17" customWidth="1"/>
    <col min="2823" max="2823" width="9.140625" style="17" customWidth="1"/>
    <col min="2824" max="2824" width="12.7109375" style="17" customWidth="1"/>
    <col min="2825" max="2825" width="22.8515625" style="17" customWidth="1"/>
    <col min="2826" max="3072" width="11.57421875" style="17" customWidth="1"/>
    <col min="3073" max="3073" width="9.140625" style="17" customWidth="1"/>
    <col min="3074" max="3074" width="12.7109375" style="17" customWidth="1"/>
    <col min="3075" max="3075" width="22.8515625" style="17" customWidth="1"/>
    <col min="3076" max="3076" width="10.140625" style="17" customWidth="1"/>
    <col min="3077" max="3077" width="14.00390625" style="17" customWidth="1"/>
    <col min="3078" max="3078" width="22.8515625" style="17" customWidth="1"/>
    <col min="3079" max="3079" width="9.140625" style="17" customWidth="1"/>
    <col min="3080" max="3080" width="12.7109375" style="17" customWidth="1"/>
    <col min="3081" max="3081" width="22.8515625" style="17" customWidth="1"/>
    <col min="3082" max="3328" width="11.57421875" style="17" customWidth="1"/>
    <col min="3329" max="3329" width="9.140625" style="17" customWidth="1"/>
    <col min="3330" max="3330" width="12.7109375" style="17" customWidth="1"/>
    <col min="3331" max="3331" width="22.8515625" style="17" customWidth="1"/>
    <col min="3332" max="3332" width="10.140625" style="17" customWidth="1"/>
    <col min="3333" max="3333" width="14.00390625" style="17" customWidth="1"/>
    <col min="3334" max="3334" width="22.8515625" style="17" customWidth="1"/>
    <col min="3335" max="3335" width="9.140625" style="17" customWidth="1"/>
    <col min="3336" max="3336" width="12.7109375" style="17" customWidth="1"/>
    <col min="3337" max="3337" width="22.8515625" style="17" customWidth="1"/>
    <col min="3338" max="3584" width="11.57421875" style="17" customWidth="1"/>
    <col min="3585" max="3585" width="9.140625" style="17" customWidth="1"/>
    <col min="3586" max="3586" width="12.7109375" style="17" customWidth="1"/>
    <col min="3587" max="3587" width="22.8515625" style="17" customWidth="1"/>
    <col min="3588" max="3588" width="10.140625" style="17" customWidth="1"/>
    <col min="3589" max="3589" width="14.00390625" style="17" customWidth="1"/>
    <col min="3590" max="3590" width="22.8515625" style="17" customWidth="1"/>
    <col min="3591" max="3591" width="9.140625" style="17" customWidth="1"/>
    <col min="3592" max="3592" width="12.7109375" style="17" customWidth="1"/>
    <col min="3593" max="3593" width="22.8515625" style="17" customWidth="1"/>
    <col min="3594" max="3840" width="11.57421875" style="17" customWidth="1"/>
    <col min="3841" max="3841" width="9.140625" style="17" customWidth="1"/>
    <col min="3842" max="3842" width="12.7109375" style="17" customWidth="1"/>
    <col min="3843" max="3843" width="22.8515625" style="17" customWidth="1"/>
    <col min="3844" max="3844" width="10.140625" style="17" customWidth="1"/>
    <col min="3845" max="3845" width="14.00390625" style="17" customWidth="1"/>
    <col min="3846" max="3846" width="22.8515625" style="17" customWidth="1"/>
    <col min="3847" max="3847" width="9.140625" style="17" customWidth="1"/>
    <col min="3848" max="3848" width="12.7109375" style="17" customWidth="1"/>
    <col min="3849" max="3849" width="22.8515625" style="17" customWidth="1"/>
    <col min="3850" max="4096" width="11.57421875" style="17" customWidth="1"/>
    <col min="4097" max="4097" width="9.140625" style="17" customWidth="1"/>
    <col min="4098" max="4098" width="12.7109375" style="17" customWidth="1"/>
    <col min="4099" max="4099" width="22.8515625" style="17" customWidth="1"/>
    <col min="4100" max="4100" width="10.140625" style="17" customWidth="1"/>
    <col min="4101" max="4101" width="14.00390625" style="17" customWidth="1"/>
    <col min="4102" max="4102" width="22.8515625" style="17" customWidth="1"/>
    <col min="4103" max="4103" width="9.140625" style="17" customWidth="1"/>
    <col min="4104" max="4104" width="12.7109375" style="17" customWidth="1"/>
    <col min="4105" max="4105" width="22.8515625" style="17" customWidth="1"/>
    <col min="4106" max="4352" width="11.57421875" style="17" customWidth="1"/>
    <col min="4353" max="4353" width="9.140625" style="17" customWidth="1"/>
    <col min="4354" max="4354" width="12.7109375" style="17" customWidth="1"/>
    <col min="4355" max="4355" width="22.8515625" style="17" customWidth="1"/>
    <col min="4356" max="4356" width="10.140625" style="17" customWidth="1"/>
    <col min="4357" max="4357" width="14.00390625" style="17" customWidth="1"/>
    <col min="4358" max="4358" width="22.8515625" style="17" customWidth="1"/>
    <col min="4359" max="4359" width="9.140625" style="17" customWidth="1"/>
    <col min="4360" max="4360" width="12.7109375" style="17" customWidth="1"/>
    <col min="4361" max="4361" width="22.8515625" style="17" customWidth="1"/>
    <col min="4362" max="4608" width="11.57421875" style="17" customWidth="1"/>
    <col min="4609" max="4609" width="9.140625" style="17" customWidth="1"/>
    <col min="4610" max="4610" width="12.7109375" style="17" customWidth="1"/>
    <col min="4611" max="4611" width="22.8515625" style="17" customWidth="1"/>
    <col min="4612" max="4612" width="10.140625" style="17" customWidth="1"/>
    <col min="4613" max="4613" width="14.00390625" style="17" customWidth="1"/>
    <col min="4614" max="4614" width="22.8515625" style="17" customWidth="1"/>
    <col min="4615" max="4615" width="9.140625" style="17" customWidth="1"/>
    <col min="4616" max="4616" width="12.7109375" style="17" customWidth="1"/>
    <col min="4617" max="4617" width="22.8515625" style="17" customWidth="1"/>
    <col min="4618" max="4864" width="11.57421875" style="17" customWidth="1"/>
    <col min="4865" max="4865" width="9.140625" style="17" customWidth="1"/>
    <col min="4866" max="4866" width="12.7109375" style="17" customWidth="1"/>
    <col min="4867" max="4867" width="22.8515625" style="17" customWidth="1"/>
    <col min="4868" max="4868" width="10.140625" style="17" customWidth="1"/>
    <col min="4869" max="4869" width="14.00390625" style="17" customWidth="1"/>
    <col min="4870" max="4870" width="22.8515625" style="17" customWidth="1"/>
    <col min="4871" max="4871" width="9.140625" style="17" customWidth="1"/>
    <col min="4872" max="4872" width="12.7109375" style="17" customWidth="1"/>
    <col min="4873" max="4873" width="22.8515625" style="17" customWidth="1"/>
    <col min="4874" max="5120" width="11.57421875" style="17" customWidth="1"/>
    <col min="5121" max="5121" width="9.140625" style="17" customWidth="1"/>
    <col min="5122" max="5122" width="12.7109375" style="17" customWidth="1"/>
    <col min="5123" max="5123" width="22.8515625" style="17" customWidth="1"/>
    <col min="5124" max="5124" width="10.140625" style="17" customWidth="1"/>
    <col min="5125" max="5125" width="14.00390625" style="17" customWidth="1"/>
    <col min="5126" max="5126" width="22.8515625" style="17" customWidth="1"/>
    <col min="5127" max="5127" width="9.140625" style="17" customWidth="1"/>
    <col min="5128" max="5128" width="12.7109375" style="17" customWidth="1"/>
    <col min="5129" max="5129" width="22.8515625" style="17" customWidth="1"/>
    <col min="5130" max="5376" width="11.57421875" style="17" customWidth="1"/>
    <col min="5377" max="5377" width="9.140625" style="17" customWidth="1"/>
    <col min="5378" max="5378" width="12.7109375" style="17" customWidth="1"/>
    <col min="5379" max="5379" width="22.8515625" style="17" customWidth="1"/>
    <col min="5380" max="5380" width="10.140625" style="17" customWidth="1"/>
    <col min="5381" max="5381" width="14.00390625" style="17" customWidth="1"/>
    <col min="5382" max="5382" width="22.8515625" style="17" customWidth="1"/>
    <col min="5383" max="5383" width="9.140625" style="17" customWidth="1"/>
    <col min="5384" max="5384" width="12.7109375" style="17" customWidth="1"/>
    <col min="5385" max="5385" width="22.8515625" style="17" customWidth="1"/>
    <col min="5386" max="5632" width="11.57421875" style="17" customWidth="1"/>
    <col min="5633" max="5633" width="9.140625" style="17" customWidth="1"/>
    <col min="5634" max="5634" width="12.7109375" style="17" customWidth="1"/>
    <col min="5635" max="5635" width="22.8515625" style="17" customWidth="1"/>
    <col min="5636" max="5636" width="10.140625" style="17" customWidth="1"/>
    <col min="5637" max="5637" width="14.00390625" style="17" customWidth="1"/>
    <col min="5638" max="5638" width="22.8515625" style="17" customWidth="1"/>
    <col min="5639" max="5639" width="9.140625" style="17" customWidth="1"/>
    <col min="5640" max="5640" width="12.7109375" style="17" customWidth="1"/>
    <col min="5641" max="5641" width="22.8515625" style="17" customWidth="1"/>
    <col min="5642" max="5888" width="11.57421875" style="17" customWidth="1"/>
    <col min="5889" max="5889" width="9.140625" style="17" customWidth="1"/>
    <col min="5890" max="5890" width="12.7109375" style="17" customWidth="1"/>
    <col min="5891" max="5891" width="22.8515625" style="17" customWidth="1"/>
    <col min="5892" max="5892" width="10.140625" style="17" customWidth="1"/>
    <col min="5893" max="5893" width="14.00390625" style="17" customWidth="1"/>
    <col min="5894" max="5894" width="22.8515625" style="17" customWidth="1"/>
    <col min="5895" max="5895" width="9.140625" style="17" customWidth="1"/>
    <col min="5896" max="5896" width="12.7109375" style="17" customWidth="1"/>
    <col min="5897" max="5897" width="22.8515625" style="17" customWidth="1"/>
    <col min="5898" max="6144" width="11.57421875" style="17" customWidth="1"/>
    <col min="6145" max="6145" width="9.140625" style="17" customWidth="1"/>
    <col min="6146" max="6146" width="12.7109375" style="17" customWidth="1"/>
    <col min="6147" max="6147" width="22.8515625" style="17" customWidth="1"/>
    <col min="6148" max="6148" width="10.140625" style="17" customWidth="1"/>
    <col min="6149" max="6149" width="14.00390625" style="17" customWidth="1"/>
    <col min="6150" max="6150" width="22.8515625" style="17" customWidth="1"/>
    <col min="6151" max="6151" width="9.140625" style="17" customWidth="1"/>
    <col min="6152" max="6152" width="12.7109375" style="17" customWidth="1"/>
    <col min="6153" max="6153" width="22.8515625" style="17" customWidth="1"/>
    <col min="6154" max="6400" width="11.57421875" style="17" customWidth="1"/>
    <col min="6401" max="6401" width="9.140625" style="17" customWidth="1"/>
    <col min="6402" max="6402" width="12.7109375" style="17" customWidth="1"/>
    <col min="6403" max="6403" width="22.8515625" style="17" customWidth="1"/>
    <col min="6404" max="6404" width="10.140625" style="17" customWidth="1"/>
    <col min="6405" max="6405" width="14.00390625" style="17" customWidth="1"/>
    <col min="6406" max="6406" width="22.8515625" style="17" customWidth="1"/>
    <col min="6407" max="6407" width="9.140625" style="17" customWidth="1"/>
    <col min="6408" max="6408" width="12.7109375" style="17" customWidth="1"/>
    <col min="6409" max="6409" width="22.8515625" style="17" customWidth="1"/>
    <col min="6410" max="6656" width="11.57421875" style="17" customWidth="1"/>
    <col min="6657" max="6657" width="9.140625" style="17" customWidth="1"/>
    <col min="6658" max="6658" width="12.7109375" style="17" customWidth="1"/>
    <col min="6659" max="6659" width="22.8515625" style="17" customWidth="1"/>
    <col min="6660" max="6660" width="10.140625" style="17" customWidth="1"/>
    <col min="6661" max="6661" width="14.00390625" style="17" customWidth="1"/>
    <col min="6662" max="6662" width="22.8515625" style="17" customWidth="1"/>
    <col min="6663" max="6663" width="9.140625" style="17" customWidth="1"/>
    <col min="6664" max="6664" width="12.7109375" style="17" customWidth="1"/>
    <col min="6665" max="6665" width="22.8515625" style="17" customWidth="1"/>
    <col min="6666" max="6912" width="11.57421875" style="17" customWidth="1"/>
    <col min="6913" max="6913" width="9.140625" style="17" customWidth="1"/>
    <col min="6914" max="6914" width="12.7109375" style="17" customWidth="1"/>
    <col min="6915" max="6915" width="22.8515625" style="17" customWidth="1"/>
    <col min="6916" max="6916" width="10.140625" style="17" customWidth="1"/>
    <col min="6917" max="6917" width="14.00390625" style="17" customWidth="1"/>
    <col min="6918" max="6918" width="22.8515625" style="17" customWidth="1"/>
    <col min="6919" max="6919" width="9.140625" style="17" customWidth="1"/>
    <col min="6920" max="6920" width="12.7109375" style="17" customWidth="1"/>
    <col min="6921" max="6921" width="22.8515625" style="17" customWidth="1"/>
    <col min="6922" max="7168" width="11.57421875" style="17" customWidth="1"/>
    <col min="7169" max="7169" width="9.140625" style="17" customWidth="1"/>
    <col min="7170" max="7170" width="12.7109375" style="17" customWidth="1"/>
    <col min="7171" max="7171" width="22.8515625" style="17" customWidth="1"/>
    <col min="7172" max="7172" width="10.140625" style="17" customWidth="1"/>
    <col min="7173" max="7173" width="14.00390625" style="17" customWidth="1"/>
    <col min="7174" max="7174" width="22.8515625" style="17" customWidth="1"/>
    <col min="7175" max="7175" width="9.140625" style="17" customWidth="1"/>
    <col min="7176" max="7176" width="12.7109375" style="17" customWidth="1"/>
    <col min="7177" max="7177" width="22.8515625" style="17" customWidth="1"/>
    <col min="7178" max="7424" width="11.57421875" style="17" customWidth="1"/>
    <col min="7425" max="7425" width="9.140625" style="17" customWidth="1"/>
    <col min="7426" max="7426" width="12.7109375" style="17" customWidth="1"/>
    <col min="7427" max="7427" width="22.8515625" style="17" customWidth="1"/>
    <col min="7428" max="7428" width="10.140625" style="17" customWidth="1"/>
    <col min="7429" max="7429" width="14.00390625" style="17" customWidth="1"/>
    <col min="7430" max="7430" width="22.8515625" style="17" customWidth="1"/>
    <col min="7431" max="7431" width="9.140625" style="17" customWidth="1"/>
    <col min="7432" max="7432" width="12.7109375" style="17" customWidth="1"/>
    <col min="7433" max="7433" width="22.8515625" style="17" customWidth="1"/>
    <col min="7434" max="7680" width="11.57421875" style="17" customWidth="1"/>
    <col min="7681" max="7681" width="9.140625" style="17" customWidth="1"/>
    <col min="7682" max="7682" width="12.7109375" style="17" customWidth="1"/>
    <col min="7683" max="7683" width="22.8515625" style="17" customWidth="1"/>
    <col min="7684" max="7684" width="10.140625" style="17" customWidth="1"/>
    <col min="7685" max="7685" width="14.00390625" style="17" customWidth="1"/>
    <col min="7686" max="7686" width="22.8515625" style="17" customWidth="1"/>
    <col min="7687" max="7687" width="9.140625" style="17" customWidth="1"/>
    <col min="7688" max="7688" width="12.7109375" style="17" customWidth="1"/>
    <col min="7689" max="7689" width="22.8515625" style="17" customWidth="1"/>
    <col min="7690" max="7936" width="11.57421875" style="17" customWidth="1"/>
    <col min="7937" max="7937" width="9.140625" style="17" customWidth="1"/>
    <col min="7938" max="7938" width="12.7109375" style="17" customWidth="1"/>
    <col min="7939" max="7939" width="22.8515625" style="17" customWidth="1"/>
    <col min="7940" max="7940" width="10.140625" style="17" customWidth="1"/>
    <col min="7941" max="7941" width="14.00390625" style="17" customWidth="1"/>
    <col min="7942" max="7942" width="22.8515625" style="17" customWidth="1"/>
    <col min="7943" max="7943" width="9.140625" style="17" customWidth="1"/>
    <col min="7944" max="7944" width="12.7109375" style="17" customWidth="1"/>
    <col min="7945" max="7945" width="22.8515625" style="17" customWidth="1"/>
    <col min="7946" max="8192" width="11.57421875" style="17" customWidth="1"/>
    <col min="8193" max="8193" width="9.140625" style="17" customWidth="1"/>
    <col min="8194" max="8194" width="12.7109375" style="17" customWidth="1"/>
    <col min="8195" max="8195" width="22.8515625" style="17" customWidth="1"/>
    <col min="8196" max="8196" width="10.140625" style="17" customWidth="1"/>
    <col min="8197" max="8197" width="14.00390625" style="17" customWidth="1"/>
    <col min="8198" max="8198" width="22.8515625" style="17" customWidth="1"/>
    <col min="8199" max="8199" width="9.140625" style="17" customWidth="1"/>
    <col min="8200" max="8200" width="12.7109375" style="17" customWidth="1"/>
    <col min="8201" max="8201" width="22.8515625" style="17" customWidth="1"/>
    <col min="8202" max="8448" width="11.57421875" style="17" customWidth="1"/>
    <col min="8449" max="8449" width="9.140625" style="17" customWidth="1"/>
    <col min="8450" max="8450" width="12.7109375" style="17" customWidth="1"/>
    <col min="8451" max="8451" width="22.8515625" style="17" customWidth="1"/>
    <col min="8452" max="8452" width="10.140625" style="17" customWidth="1"/>
    <col min="8453" max="8453" width="14.00390625" style="17" customWidth="1"/>
    <col min="8454" max="8454" width="22.8515625" style="17" customWidth="1"/>
    <col min="8455" max="8455" width="9.140625" style="17" customWidth="1"/>
    <col min="8456" max="8456" width="12.7109375" style="17" customWidth="1"/>
    <col min="8457" max="8457" width="22.8515625" style="17" customWidth="1"/>
    <col min="8458" max="8704" width="11.57421875" style="17" customWidth="1"/>
    <col min="8705" max="8705" width="9.140625" style="17" customWidth="1"/>
    <col min="8706" max="8706" width="12.7109375" style="17" customWidth="1"/>
    <col min="8707" max="8707" width="22.8515625" style="17" customWidth="1"/>
    <col min="8708" max="8708" width="10.140625" style="17" customWidth="1"/>
    <col min="8709" max="8709" width="14.00390625" style="17" customWidth="1"/>
    <col min="8710" max="8710" width="22.8515625" style="17" customWidth="1"/>
    <col min="8711" max="8711" width="9.140625" style="17" customWidth="1"/>
    <col min="8712" max="8712" width="12.7109375" style="17" customWidth="1"/>
    <col min="8713" max="8713" width="22.8515625" style="17" customWidth="1"/>
    <col min="8714" max="8960" width="11.57421875" style="17" customWidth="1"/>
    <col min="8961" max="8961" width="9.140625" style="17" customWidth="1"/>
    <col min="8962" max="8962" width="12.7109375" style="17" customWidth="1"/>
    <col min="8963" max="8963" width="22.8515625" style="17" customWidth="1"/>
    <col min="8964" max="8964" width="10.140625" style="17" customWidth="1"/>
    <col min="8965" max="8965" width="14.00390625" style="17" customWidth="1"/>
    <col min="8966" max="8966" width="22.8515625" style="17" customWidth="1"/>
    <col min="8967" max="8967" width="9.140625" style="17" customWidth="1"/>
    <col min="8968" max="8968" width="12.7109375" style="17" customWidth="1"/>
    <col min="8969" max="8969" width="22.8515625" style="17" customWidth="1"/>
    <col min="8970" max="9216" width="11.57421875" style="17" customWidth="1"/>
    <col min="9217" max="9217" width="9.140625" style="17" customWidth="1"/>
    <col min="9218" max="9218" width="12.7109375" style="17" customWidth="1"/>
    <col min="9219" max="9219" width="22.8515625" style="17" customWidth="1"/>
    <col min="9220" max="9220" width="10.140625" style="17" customWidth="1"/>
    <col min="9221" max="9221" width="14.00390625" style="17" customWidth="1"/>
    <col min="9222" max="9222" width="22.8515625" style="17" customWidth="1"/>
    <col min="9223" max="9223" width="9.140625" style="17" customWidth="1"/>
    <col min="9224" max="9224" width="12.7109375" style="17" customWidth="1"/>
    <col min="9225" max="9225" width="22.8515625" style="17" customWidth="1"/>
    <col min="9226" max="9472" width="11.57421875" style="17" customWidth="1"/>
    <col min="9473" max="9473" width="9.140625" style="17" customWidth="1"/>
    <col min="9474" max="9474" width="12.7109375" style="17" customWidth="1"/>
    <col min="9475" max="9475" width="22.8515625" style="17" customWidth="1"/>
    <col min="9476" max="9476" width="10.140625" style="17" customWidth="1"/>
    <col min="9477" max="9477" width="14.00390625" style="17" customWidth="1"/>
    <col min="9478" max="9478" width="22.8515625" style="17" customWidth="1"/>
    <col min="9479" max="9479" width="9.140625" style="17" customWidth="1"/>
    <col min="9480" max="9480" width="12.7109375" style="17" customWidth="1"/>
    <col min="9481" max="9481" width="22.8515625" style="17" customWidth="1"/>
    <col min="9482" max="9728" width="11.57421875" style="17" customWidth="1"/>
    <col min="9729" max="9729" width="9.140625" style="17" customWidth="1"/>
    <col min="9730" max="9730" width="12.7109375" style="17" customWidth="1"/>
    <col min="9731" max="9731" width="22.8515625" style="17" customWidth="1"/>
    <col min="9732" max="9732" width="10.140625" style="17" customWidth="1"/>
    <col min="9733" max="9733" width="14.00390625" style="17" customWidth="1"/>
    <col min="9734" max="9734" width="22.8515625" style="17" customWidth="1"/>
    <col min="9735" max="9735" width="9.140625" style="17" customWidth="1"/>
    <col min="9736" max="9736" width="12.7109375" style="17" customWidth="1"/>
    <col min="9737" max="9737" width="22.8515625" style="17" customWidth="1"/>
    <col min="9738" max="9984" width="11.57421875" style="17" customWidth="1"/>
    <col min="9985" max="9985" width="9.140625" style="17" customWidth="1"/>
    <col min="9986" max="9986" width="12.7109375" style="17" customWidth="1"/>
    <col min="9987" max="9987" width="22.8515625" style="17" customWidth="1"/>
    <col min="9988" max="9988" width="10.140625" style="17" customWidth="1"/>
    <col min="9989" max="9989" width="14.00390625" style="17" customWidth="1"/>
    <col min="9990" max="9990" width="22.8515625" style="17" customWidth="1"/>
    <col min="9991" max="9991" width="9.140625" style="17" customWidth="1"/>
    <col min="9992" max="9992" width="12.7109375" style="17" customWidth="1"/>
    <col min="9993" max="9993" width="22.8515625" style="17" customWidth="1"/>
    <col min="9994" max="10240" width="11.57421875" style="17" customWidth="1"/>
    <col min="10241" max="10241" width="9.140625" style="17" customWidth="1"/>
    <col min="10242" max="10242" width="12.7109375" style="17" customWidth="1"/>
    <col min="10243" max="10243" width="22.8515625" style="17" customWidth="1"/>
    <col min="10244" max="10244" width="10.140625" style="17" customWidth="1"/>
    <col min="10245" max="10245" width="14.00390625" style="17" customWidth="1"/>
    <col min="10246" max="10246" width="22.8515625" style="17" customWidth="1"/>
    <col min="10247" max="10247" width="9.140625" style="17" customWidth="1"/>
    <col min="10248" max="10248" width="12.7109375" style="17" customWidth="1"/>
    <col min="10249" max="10249" width="22.8515625" style="17" customWidth="1"/>
    <col min="10250" max="10496" width="11.57421875" style="17" customWidth="1"/>
    <col min="10497" max="10497" width="9.140625" style="17" customWidth="1"/>
    <col min="10498" max="10498" width="12.7109375" style="17" customWidth="1"/>
    <col min="10499" max="10499" width="22.8515625" style="17" customWidth="1"/>
    <col min="10500" max="10500" width="10.140625" style="17" customWidth="1"/>
    <col min="10501" max="10501" width="14.00390625" style="17" customWidth="1"/>
    <col min="10502" max="10502" width="22.8515625" style="17" customWidth="1"/>
    <col min="10503" max="10503" width="9.140625" style="17" customWidth="1"/>
    <col min="10504" max="10504" width="12.7109375" style="17" customWidth="1"/>
    <col min="10505" max="10505" width="22.8515625" style="17" customWidth="1"/>
    <col min="10506" max="10752" width="11.57421875" style="17" customWidth="1"/>
    <col min="10753" max="10753" width="9.140625" style="17" customWidth="1"/>
    <col min="10754" max="10754" width="12.7109375" style="17" customWidth="1"/>
    <col min="10755" max="10755" width="22.8515625" style="17" customWidth="1"/>
    <col min="10756" max="10756" width="10.140625" style="17" customWidth="1"/>
    <col min="10757" max="10757" width="14.00390625" style="17" customWidth="1"/>
    <col min="10758" max="10758" width="22.8515625" style="17" customWidth="1"/>
    <col min="10759" max="10759" width="9.140625" style="17" customWidth="1"/>
    <col min="10760" max="10760" width="12.7109375" style="17" customWidth="1"/>
    <col min="10761" max="10761" width="22.8515625" style="17" customWidth="1"/>
    <col min="10762" max="11008" width="11.57421875" style="17" customWidth="1"/>
    <col min="11009" max="11009" width="9.140625" style="17" customWidth="1"/>
    <col min="11010" max="11010" width="12.7109375" style="17" customWidth="1"/>
    <col min="11011" max="11011" width="22.8515625" style="17" customWidth="1"/>
    <col min="11012" max="11012" width="10.140625" style="17" customWidth="1"/>
    <col min="11013" max="11013" width="14.00390625" style="17" customWidth="1"/>
    <col min="11014" max="11014" width="22.8515625" style="17" customWidth="1"/>
    <col min="11015" max="11015" width="9.140625" style="17" customWidth="1"/>
    <col min="11016" max="11016" width="12.7109375" style="17" customWidth="1"/>
    <col min="11017" max="11017" width="22.8515625" style="17" customWidth="1"/>
    <col min="11018" max="11264" width="11.57421875" style="17" customWidth="1"/>
    <col min="11265" max="11265" width="9.140625" style="17" customWidth="1"/>
    <col min="11266" max="11266" width="12.7109375" style="17" customWidth="1"/>
    <col min="11267" max="11267" width="22.8515625" style="17" customWidth="1"/>
    <col min="11268" max="11268" width="10.140625" style="17" customWidth="1"/>
    <col min="11269" max="11269" width="14.00390625" style="17" customWidth="1"/>
    <col min="11270" max="11270" width="22.8515625" style="17" customWidth="1"/>
    <col min="11271" max="11271" width="9.140625" style="17" customWidth="1"/>
    <col min="11272" max="11272" width="12.7109375" style="17" customWidth="1"/>
    <col min="11273" max="11273" width="22.8515625" style="17" customWidth="1"/>
    <col min="11274" max="11520" width="11.57421875" style="17" customWidth="1"/>
    <col min="11521" max="11521" width="9.140625" style="17" customWidth="1"/>
    <col min="11522" max="11522" width="12.7109375" style="17" customWidth="1"/>
    <col min="11523" max="11523" width="22.8515625" style="17" customWidth="1"/>
    <col min="11524" max="11524" width="10.140625" style="17" customWidth="1"/>
    <col min="11525" max="11525" width="14.00390625" style="17" customWidth="1"/>
    <col min="11526" max="11526" width="22.8515625" style="17" customWidth="1"/>
    <col min="11527" max="11527" width="9.140625" style="17" customWidth="1"/>
    <col min="11528" max="11528" width="12.7109375" style="17" customWidth="1"/>
    <col min="11529" max="11529" width="22.8515625" style="17" customWidth="1"/>
    <col min="11530" max="11776" width="11.57421875" style="17" customWidth="1"/>
    <col min="11777" max="11777" width="9.140625" style="17" customWidth="1"/>
    <col min="11778" max="11778" width="12.7109375" style="17" customWidth="1"/>
    <col min="11779" max="11779" width="22.8515625" style="17" customWidth="1"/>
    <col min="11780" max="11780" width="10.140625" style="17" customWidth="1"/>
    <col min="11781" max="11781" width="14.00390625" style="17" customWidth="1"/>
    <col min="11782" max="11782" width="22.8515625" style="17" customWidth="1"/>
    <col min="11783" max="11783" width="9.140625" style="17" customWidth="1"/>
    <col min="11784" max="11784" width="12.7109375" style="17" customWidth="1"/>
    <col min="11785" max="11785" width="22.8515625" style="17" customWidth="1"/>
    <col min="11786" max="12032" width="11.57421875" style="17" customWidth="1"/>
    <col min="12033" max="12033" width="9.140625" style="17" customWidth="1"/>
    <col min="12034" max="12034" width="12.7109375" style="17" customWidth="1"/>
    <col min="12035" max="12035" width="22.8515625" style="17" customWidth="1"/>
    <col min="12036" max="12036" width="10.140625" style="17" customWidth="1"/>
    <col min="12037" max="12037" width="14.00390625" style="17" customWidth="1"/>
    <col min="12038" max="12038" width="22.8515625" style="17" customWidth="1"/>
    <col min="12039" max="12039" width="9.140625" style="17" customWidth="1"/>
    <col min="12040" max="12040" width="12.7109375" style="17" customWidth="1"/>
    <col min="12041" max="12041" width="22.8515625" style="17" customWidth="1"/>
    <col min="12042" max="12288" width="11.57421875" style="17" customWidth="1"/>
    <col min="12289" max="12289" width="9.140625" style="17" customWidth="1"/>
    <col min="12290" max="12290" width="12.7109375" style="17" customWidth="1"/>
    <col min="12291" max="12291" width="22.8515625" style="17" customWidth="1"/>
    <col min="12292" max="12292" width="10.140625" style="17" customWidth="1"/>
    <col min="12293" max="12293" width="14.00390625" style="17" customWidth="1"/>
    <col min="12294" max="12294" width="22.8515625" style="17" customWidth="1"/>
    <col min="12295" max="12295" width="9.140625" style="17" customWidth="1"/>
    <col min="12296" max="12296" width="12.7109375" style="17" customWidth="1"/>
    <col min="12297" max="12297" width="22.8515625" style="17" customWidth="1"/>
    <col min="12298" max="12544" width="11.57421875" style="17" customWidth="1"/>
    <col min="12545" max="12545" width="9.140625" style="17" customWidth="1"/>
    <col min="12546" max="12546" width="12.7109375" style="17" customWidth="1"/>
    <col min="12547" max="12547" width="22.8515625" style="17" customWidth="1"/>
    <col min="12548" max="12548" width="10.140625" style="17" customWidth="1"/>
    <col min="12549" max="12549" width="14.00390625" style="17" customWidth="1"/>
    <col min="12550" max="12550" width="22.8515625" style="17" customWidth="1"/>
    <col min="12551" max="12551" width="9.140625" style="17" customWidth="1"/>
    <col min="12552" max="12552" width="12.7109375" style="17" customWidth="1"/>
    <col min="12553" max="12553" width="22.8515625" style="17" customWidth="1"/>
    <col min="12554" max="12800" width="11.57421875" style="17" customWidth="1"/>
    <col min="12801" max="12801" width="9.140625" style="17" customWidth="1"/>
    <col min="12802" max="12802" width="12.7109375" style="17" customWidth="1"/>
    <col min="12803" max="12803" width="22.8515625" style="17" customWidth="1"/>
    <col min="12804" max="12804" width="10.140625" style="17" customWidth="1"/>
    <col min="12805" max="12805" width="14.00390625" style="17" customWidth="1"/>
    <col min="12806" max="12806" width="22.8515625" style="17" customWidth="1"/>
    <col min="12807" max="12807" width="9.140625" style="17" customWidth="1"/>
    <col min="12808" max="12808" width="12.7109375" style="17" customWidth="1"/>
    <col min="12809" max="12809" width="22.8515625" style="17" customWidth="1"/>
    <col min="12810" max="13056" width="11.57421875" style="17" customWidth="1"/>
    <col min="13057" max="13057" width="9.140625" style="17" customWidth="1"/>
    <col min="13058" max="13058" width="12.7109375" style="17" customWidth="1"/>
    <col min="13059" max="13059" width="22.8515625" style="17" customWidth="1"/>
    <col min="13060" max="13060" width="10.140625" style="17" customWidth="1"/>
    <col min="13061" max="13061" width="14.00390625" style="17" customWidth="1"/>
    <col min="13062" max="13062" width="22.8515625" style="17" customWidth="1"/>
    <col min="13063" max="13063" width="9.140625" style="17" customWidth="1"/>
    <col min="13064" max="13064" width="12.7109375" style="17" customWidth="1"/>
    <col min="13065" max="13065" width="22.8515625" style="17" customWidth="1"/>
    <col min="13066" max="13312" width="11.57421875" style="17" customWidth="1"/>
    <col min="13313" max="13313" width="9.140625" style="17" customWidth="1"/>
    <col min="13314" max="13314" width="12.7109375" style="17" customWidth="1"/>
    <col min="13315" max="13315" width="22.8515625" style="17" customWidth="1"/>
    <col min="13316" max="13316" width="10.140625" style="17" customWidth="1"/>
    <col min="13317" max="13317" width="14.00390625" style="17" customWidth="1"/>
    <col min="13318" max="13318" width="22.8515625" style="17" customWidth="1"/>
    <col min="13319" max="13319" width="9.140625" style="17" customWidth="1"/>
    <col min="13320" max="13320" width="12.7109375" style="17" customWidth="1"/>
    <col min="13321" max="13321" width="22.8515625" style="17" customWidth="1"/>
    <col min="13322" max="13568" width="11.57421875" style="17" customWidth="1"/>
    <col min="13569" max="13569" width="9.140625" style="17" customWidth="1"/>
    <col min="13570" max="13570" width="12.7109375" style="17" customWidth="1"/>
    <col min="13571" max="13571" width="22.8515625" style="17" customWidth="1"/>
    <col min="13572" max="13572" width="10.140625" style="17" customWidth="1"/>
    <col min="13573" max="13573" width="14.00390625" style="17" customWidth="1"/>
    <col min="13574" max="13574" width="22.8515625" style="17" customWidth="1"/>
    <col min="13575" max="13575" width="9.140625" style="17" customWidth="1"/>
    <col min="13576" max="13576" width="12.7109375" style="17" customWidth="1"/>
    <col min="13577" max="13577" width="22.8515625" style="17" customWidth="1"/>
    <col min="13578" max="13824" width="11.57421875" style="17" customWidth="1"/>
    <col min="13825" max="13825" width="9.140625" style="17" customWidth="1"/>
    <col min="13826" max="13826" width="12.7109375" style="17" customWidth="1"/>
    <col min="13827" max="13827" width="22.8515625" style="17" customWidth="1"/>
    <col min="13828" max="13828" width="10.140625" style="17" customWidth="1"/>
    <col min="13829" max="13829" width="14.00390625" style="17" customWidth="1"/>
    <col min="13830" max="13830" width="22.8515625" style="17" customWidth="1"/>
    <col min="13831" max="13831" width="9.140625" style="17" customWidth="1"/>
    <col min="13832" max="13832" width="12.7109375" style="17" customWidth="1"/>
    <col min="13833" max="13833" width="22.8515625" style="17" customWidth="1"/>
    <col min="13834" max="14080" width="11.57421875" style="17" customWidth="1"/>
    <col min="14081" max="14081" width="9.140625" style="17" customWidth="1"/>
    <col min="14082" max="14082" width="12.7109375" style="17" customWidth="1"/>
    <col min="14083" max="14083" width="22.8515625" style="17" customWidth="1"/>
    <col min="14084" max="14084" width="10.140625" style="17" customWidth="1"/>
    <col min="14085" max="14085" width="14.00390625" style="17" customWidth="1"/>
    <col min="14086" max="14086" width="22.8515625" style="17" customWidth="1"/>
    <col min="14087" max="14087" width="9.140625" style="17" customWidth="1"/>
    <col min="14088" max="14088" width="12.7109375" style="17" customWidth="1"/>
    <col min="14089" max="14089" width="22.8515625" style="17" customWidth="1"/>
    <col min="14090" max="14336" width="11.57421875" style="17" customWidth="1"/>
    <col min="14337" max="14337" width="9.140625" style="17" customWidth="1"/>
    <col min="14338" max="14338" width="12.7109375" style="17" customWidth="1"/>
    <col min="14339" max="14339" width="22.8515625" style="17" customWidth="1"/>
    <col min="14340" max="14340" width="10.140625" style="17" customWidth="1"/>
    <col min="14341" max="14341" width="14.00390625" style="17" customWidth="1"/>
    <col min="14342" max="14342" width="22.8515625" style="17" customWidth="1"/>
    <col min="14343" max="14343" width="9.140625" style="17" customWidth="1"/>
    <col min="14344" max="14344" width="12.7109375" style="17" customWidth="1"/>
    <col min="14345" max="14345" width="22.8515625" style="17" customWidth="1"/>
    <col min="14346" max="14592" width="11.57421875" style="17" customWidth="1"/>
    <col min="14593" max="14593" width="9.140625" style="17" customWidth="1"/>
    <col min="14594" max="14594" width="12.7109375" style="17" customWidth="1"/>
    <col min="14595" max="14595" width="22.8515625" style="17" customWidth="1"/>
    <col min="14596" max="14596" width="10.140625" style="17" customWidth="1"/>
    <col min="14597" max="14597" width="14.00390625" style="17" customWidth="1"/>
    <col min="14598" max="14598" width="22.8515625" style="17" customWidth="1"/>
    <col min="14599" max="14599" width="9.140625" style="17" customWidth="1"/>
    <col min="14600" max="14600" width="12.7109375" style="17" customWidth="1"/>
    <col min="14601" max="14601" width="22.8515625" style="17" customWidth="1"/>
    <col min="14602" max="14848" width="11.57421875" style="17" customWidth="1"/>
    <col min="14849" max="14849" width="9.140625" style="17" customWidth="1"/>
    <col min="14850" max="14850" width="12.7109375" style="17" customWidth="1"/>
    <col min="14851" max="14851" width="22.8515625" style="17" customWidth="1"/>
    <col min="14852" max="14852" width="10.140625" style="17" customWidth="1"/>
    <col min="14853" max="14853" width="14.00390625" style="17" customWidth="1"/>
    <col min="14854" max="14854" width="22.8515625" style="17" customWidth="1"/>
    <col min="14855" max="14855" width="9.140625" style="17" customWidth="1"/>
    <col min="14856" max="14856" width="12.7109375" style="17" customWidth="1"/>
    <col min="14857" max="14857" width="22.8515625" style="17" customWidth="1"/>
    <col min="14858" max="15104" width="11.57421875" style="17" customWidth="1"/>
    <col min="15105" max="15105" width="9.140625" style="17" customWidth="1"/>
    <col min="15106" max="15106" width="12.7109375" style="17" customWidth="1"/>
    <col min="15107" max="15107" width="22.8515625" style="17" customWidth="1"/>
    <col min="15108" max="15108" width="10.140625" style="17" customWidth="1"/>
    <col min="15109" max="15109" width="14.00390625" style="17" customWidth="1"/>
    <col min="15110" max="15110" width="22.8515625" style="17" customWidth="1"/>
    <col min="15111" max="15111" width="9.140625" style="17" customWidth="1"/>
    <col min="15112" max="15112" width="12.7109375" style="17" customWidth="1"/>
    <col min="15113" max="15113" width="22.8515625" style="17" customWidth="1"/>
    <col min="15114" max="15360" width="11.57421875" style="17" customWidth="1"/>
    <col min="15361" max="15361" width="9.140625" style="17" customWidth="1"/>
    <col min="15362" max="15362" width="12.7109375" style="17" customWidth="1"/>
    <col min="15363" max="15363" width="22.8515625" style="17" customWidth="1"/>
    <col min="15364" max="15364" width="10.140625" style="17" customWidth="1"/>
    <col min="15365" max="15365" width="14.00390625" style="17" customWidth="1"/>
    <col min="15366" max="15366" width="22.8515625" style="17" customWidth="1"/>
    <col min="15367" max="15367" width="9.140625" style="17" customWidth="1"/>
    <col min="15368" max="15368" width="12.7109375" style="17" customWidth="1"/>
    <col min="15369" max="15369" width="22.8515625" style="17" customWidth="1"/>
    <col min="15370" max="15616" width="11.57421875" style="17" customWidth="1"/>
    <col min="15617" max="15617" width="9.140625" style="17" customWidth="1"/>
    <col min="15618" max="15618" width="12.7109375" style="17" customWidth="1"/>
    <col min="15619" max="15619" width="22.8515625" style="17" customWidth="1"/>
    <col min="15620" max="15620" width="10.140625" style="17" customWidth="1"/>
    <col min="15621" max="15621" width="14.00390625" style="17" customWidth="1"/>
    <col min="15622" max="15622" width="22.8515625" style="17" customWidth="1"/>
    <col min="15623" max="15623" width="9.140625" style="17" customWidth="1"/>
    <col min="15624" max="15624" width="12.7109375" style="17" customWidth="1"/>
    <col min="15625" max="15625" width="22.8515625" style="17" customWidth="1"/>
    <col min="15626" max="15872" width="11.57421875" style="17" customWidth="1"/>
    <col min="15873" max="15873" width="9.140625" style="17" customWidth="1"/>
    <col min="15874" max="15874" width="12.7109375" style="17" customWidth="1"/>
    <col min="15875" max="15875" width="22.8515625" style="17" customWidth="1"/>
    <col min="15876" max="15876" width="10.140625" style="17" customWidth="1"/>
    <col min="15877" max="15877" width="14.00390625" style="17" customWidth="1"/>
    <col min="15878" max="15878" width="22.8515625" style="17" customWidth="1"/>
    <col min="15879" max="15879" width="9.140625" style="17" customWidth="1"/>
    <col min="15880" max="15880" width="12.7109375" style="17" customWidth="1"/>
    <col min="15881" max="15881" width="22.8515625" style="17" customWidth="1"/>
    <col min="15882" max="16128" width="11.57421875" style="17" customWidth="1"/>
    <col min="16129" max="16129" width="9.140625" style="17" customWidth="1"/>
    <col min="16130" max="16130" width="12.7109375" style="17" customWidth="1"/>
    <col min="16131" max="16131" width="22.8515625" style="17" customWidth="1"/>
    <col min="16132" max="16132" width="10.140625" style="17" customWidth="1"/>
    <col min="16133" max="16133" width="14.00390625" style="17" customWidth="1"/>
    <col min="16134" max="16134" width="22.8515625" style="17" customWidth="1"/>
    <col min="16135" max="16135" width="9.140625" style="17" customWidth="1"/>
    <col min="16136" max="16136" width="12.7109375" style="17" customWidth="1"/>
    <col min="16137" max="16137" width="22.8515625" style="17" customWidth="1"/>
    <col min="16138" max="16384" width="11.57421875" style="17" customWidth="1"/>
  </cols>
  <sheetData>
    <row r="1" spans="1:9" ht="73.05" customHeight="1">
      <c r="A1" s="15"/>
      <c r="B1" s="16"/>
      <c r="C1" s="642" t="s">
        <v>24</v>
      </c>
      <c r="D1" s="643"/>
      <c r="E1" s="643"/>
      <c r="F1" s="643"/>
      <c r="G1" s="643"/>
      <c r="H1" s="643"/>
      <c r="I1" s="643"/>
    </row>
    <row r="2" spans="1:10" ht="15">
      <c r="A2" s="644" t="s">
        <v>13</v>
      </c>
      <c r="B2" s="645"/>
      <c r="C2" s="648" t="str">
        <f>'SO 02_Výkaz výměr'!C2</f>
        <v>Úpravy zahrady Strakovy akademie</v>
      </c>
      <c r="D2" s="649"/>
      <c r="E2" s="651" t="s">
        <v>15</v>
      </c>
      <c r="F2" s="651" t="str">
        <f>'SO 02_Výkaz výměr'!I2</f>
        <v>Úřad vlády České republiky, nábř. E. Beneše 128/4,</v>
      </c>
      <c r="G2" s="645"/>
      <c r="H2" s="651" t="s">
        <v>25</v>
      </c>
      <c r="I2" s="652"/>
      <c r="J2" s="18"/>
    </row>
    <row r="3" spans="1:10" ht="12.75" customHeight="1">
      <c r="A3" s="646"/>
      <c r="B3" s="647"/>
      <c r="C3" s="650"/>
      <c r="D3" s="650"/>
      <c r="E3" s="647"/>
      <c r="F3" s="647"/>
      <c r="G3" s="647"/>
      <c r="H3" s="647"/>
      <c r="I3" s="653"/>
      <c r="J3" s="18"/>
    </row>
    <row r="4" spans="1:10" ht="15">
      <c r="A4" s="655" t="s">
        <v>26</v>
      </c>
      <c r="B4" s="647"/>
      <c r="C4" s="656" t="s">
        <v>935</v>
      </c>
      <c r="D4" s="647"/>
      <c r="E4" s="656" t="s">
        <v>27</v>
      </c>
      <c r="F4" s="656" t="str">
        <f>'SO 02_Výkaz výměr'!I4</f>
        <v>Ing. Přemysl Krejčiřík, Ph.D.</v>
      </c>
      <c r="G4" s="647"/>
      <c r="H4" s="656" t="s">
        <v>25</v>
      </c>
      <c r="I4" s="654" t="s">
        <v>28</v>
      </c>
      <c r="J4" s="18"/>
    </row>
    <row r="5" spans="1:10" ht="12.75" customHeight="1">
      <c r="A5" s="646"/>
      <c r="B5" s="647"/>
      <c r="C5" s="647"/>
      <c r="D5" s="647"/>
      <c r="E5" s="647"/>
      <c r="F5" s="647"/>
      <c r="G5" s="647"/>
      <c r="H5" s="647"/>
      <c r="I5" s="653"/>
      <c r="J5" s="18"/>
    </row>
    <row r="6" spans="1:10" ht="15">
      <c r="A6" s="655" t="s">
        <v>16</v>
      </c>
      <c r="B6" s="647"/>
      <c r="C6" s="656" t="str">
        <f>'SO 02_Výkaz výměr'!C6</f>
        <v>Praha, Malá Strana</v>
      </c>
      <c r="D6" s="647"/>
      <c r="E6" s="656" t="s">
        <v>29</v>
      </c>
      <c r="F6" s="743" t="str">
        <f>'SO 02_Výkaz výměr'!I6</f>
        <v> </v>
      </c>
      <c r="G6" s="744"/>
      <c r="H6" s="656" t="s">
        <v>25</v>
      </c>
      <c r="I6" s="741"/>
      <c r="J6" s="18"/>
    </row>
    <row r="7" spans="1:10" ht="12.75" customHeight="1">
      <c r="A7" s="646"/>
      <c r="B7" s="647"/>
      <c r="C7" s="647"/>
      <c r="D7" s="647"/>
      <c r="E7" s="647"/>
      <c r="F7" s="744"/>
      <c r="G7" s="744"/>
      <c r="H7" s="647"/>
      <c r="I7" s="742"/>
      <c r="J7" s="18"/>
    </row>
    <row r="8" spans="1:10" ht="15">
      <c r="A8" s="655" t="s">
        <v>30</v>
      </c>
      <c r="B8" s="647"/>
      <c r="C8" s="656" t="str">
        <f>'SO 02_Výkaz výměr'!F4</f>
        <v xml:space="preserve"> </v>
      </c>
      <c r="D8" s="647"/>
      <c r="E8" s="656" t="s">
        <v>31</v>
      </c>
      <c r="F8" s="656" t="str">
        <f>'SO 02_Výkaz výměr'!F6</f>
        <v xml:space="preserve"> </v>
      </c>
      <c r="G8" s="647"/>
      <c r="H8" s="659" t="s">
        <v>32</v>
      </c>
      <c r="I8" s="654" t="s">
        <v>537</v>
      </c>
      <c r="J8" s="18"/>
    </row>
    <row r="9" spans="1:10" ht="15">
      <c r="A9" s="646"/>
      <c r="B9" s="647"/>
      <c r="C9" s="647"/>
      <c r="D9" s="647"/>
      <c r="E9" s="647"/>
      <c r="F9" s="647"/>
      <c r="G9" s="647"/>
      <c r="H9" s="647"/>
      <c r="I9" s="653"/>
      <c r="J9" s="18"/>
    </row>
    <row r="10" spans="1:10" ht="15">
      <c r="A10" s="655" t="s">
        <v>34</v>
      </c>
      <c r="B10" s="647"/>
      <c r="C10" s="656" t="str">
        <f>'SO 02_Výkaz výměr'!C8</f>
        <v xml:space="preserve"> </v>
      </c>
      <c r="D10" s="647"/>
      <c r="E10" s="656" t="s">
        <v>35</v>
      </c>
      <c r="F10" s="656" t="str">
        <f>'SO 02_Výkaz výměr'!I8</f>
        <v>Ing. Aneta Dalajková</v>
      </c>
      <c r="G10" s="647"/>
      <c r="H10" s="659" t="s">
        <v>18</v>
      </c>
      <c r="I10" s="657" t="str">
        <f>'SO 02_Výkaz výměr'!F8</f>
        <v>09.09.2019</v>
      </c>
      <c r="J10" s="18"/>
    </row>
    <row r="11" spans="1:10" ht="15">
      <c r="A11" s="660"/>
      <c r="B11" s="661"/>
      <c r="C11" s="661"/>
      <c r="D11" s="661"/>
      <c r="E11" s="661"/>
      <c r="F11" s="661"/>
      <c r="G11" s="661"/>
      <c r="H11" s="661"/>
      <c r="I11" s="658"/>
      <c r="J11" s="18"/>
    </row>
    <row r="12" spans="1:9" ht="18.75" customHeight="1">
      <c r="A12" s="662" t="s">
        <v>36</v>
      </c>
      <c r="B12" s="663"/>
      <c r="C12" s="663"/>
      <c r="D12" s="663"/>
      <c r="E12" s="663"/>
      <c r="F12" s="663"/>
      <c r="G12" s="663"/>
      <c r="H12" s="663"/>
      <c r="I12" s="663"/>
    </row>
    <row r="13" spans="1:10" ht="26.55" customHeight="1">
      <c r="A13" s="19" t="s">
        <v>37</v>
      </c>
      <c r="B13" s="664" t="s">
        <v>38</v>
      </c>
      <c r="C13" s="665"/>
      <c r="D13" s="19" t="s">
        <v>39</v>
      </c>
      <c r="E13" s="664" t="s">
        <v>40</v>
      </c>
      <c r="F13" s="665"/>
      <c r="G13" s="19" t="s">
        <v>41</v>
      </c>
      <c r="H13" s="664" t="s">
        <v>42</v>
      </c>
      <c r="I13" s="665"/>
      <c r="J13" s="18"/>
    </row>
    <row r="14" spans="1:10" ht="12.75" customHeight="1">
      <c r="A14" s="20" t="s">
        <v>43</v>
      </c>
      <c r="B14" s="21" t="s">
        <v>44</v>
      </c>
      <c r="C14" s="22">
        <f>SUM('SO 02_Výkaz výměr'!AB12:AB207)</f>
        <v>0</v>
      </c>
      <c r="D14" s="749" t="s">
        <v>45</v>
      </c>
      <c r="E14" s="750"/>
      <c r="F14" s="755">
        <v>0</v>
      </c>
      <c r="G14" s="749" t="s">
        <v>46</v>
      </c>
      <c r="H14" s="750"/>
      <c r="I14" s="755">
        <v>0</v>
      </c>
      <c r="J14" s="18"/>
    </row>
    <row r="15" spans="1:10" ht="18.6" customHeight="1">
      <c r="A15" s="23"/>
      <c r="B15" s="21" t="s">
        <v>47</v>
      </c>
      <c r="C15" s="22">
        <f>SUM('SO 02_Výkaz výměr'!AC12:AC207)</f>
        <v>0</v>
      </c>
      <c r="D15" s="751"/>
      <c r="E15" s="752"/>
      <c r="F15" s="756"/>
      <c r="G15" s="751"/>
      <c r="H15" s="752"/>
      <c r="I15" s="756"/>
      <c r="J15" s="18"/>
    </row>
    <row r="16" spans="1:10" ht="12.75" customHeight="1">
      <c r="A16" s="20" t="s">
        <v>48</v>
      </c>
      <c r="B16" s="21" t="s">
        <v>44</v>
      </c>
      <c r="C16" s="22">
        <f>SUM('SO 02_Výkaz výměr'!AD12:AD207)</f>
        <v>0</v>
      </c>
      <c r="D16" s="753"/>
      <c r="E16" s="754"/>
      <c r="F16" s="757"/>
      <c r="G16" s="753"/>
      <c r="H16" s="754"/>
      <c r="I16" s="757"/>
      <c r="J16" s="18"/>
    </row>
    <row r="17" spans="1:10" ht="38.4" customHeight="1">
      <c r="A17" s="23"/>
      <c r="B17" s="21" t="s">
        <v>47</v>
      </c>
      <c r="C17" s="22">
        <f>SUM('SO 02_Výkaz výměr'!AE12:AE207)</f>
        <v>0</v>
      </c>
      <c r="D17" s="749" t="s">
        <v>49</v>
      </c>
      <c r="E17" s="750"/>
      <c r="F17" s="755">
        <v>0</v>
      </c>
      <c r="G17" s="749" t="s">
        <v>50</v>
      </c>
      <c r="H17" s="750"/>
      <c r="I17" s="755">
        <v>0</v>
      </c>
      <c r="J17" s="18"/>
    </row>
    <row r="18" spans="1:10" ht="12.75" customHeight="1">
      <c r="A18" s="20" t="s">
        <v>51</v>
      </c>
      <c r="B18" s="21" t="s">
        <v>44</v>
      </c>
      <c r="C18" s="22">
        <f>SUM('SO 02_Výkaz výměr'!AF12:AF207)</f>
        <v>0</v>
      </c>
      <c r="D18" s="751"/>
      <c r="E18" s="752"/>
      <c r="F18" s="756"/>
      <c r="G18" s="751"/>
      <c r="H18" s="752"/>
      <c r="I18" s="756"/>
      <c r="J18" s="18"/>
    </row>
    <row r="19" spans="1:10" ht="12.75" customHeight="1">
      <c r="A19" s="23"/>
      <c r="B19" s="21" t="s">
        <v>47</v>
      </c>
      <c r="C19" s="22">
        <f>SUM('SO 02_Výkaz výměr'!AG12:AG207)</f>
        <v>0</v>
      </c>
      <c r="D19" s="751"/>
      <c r="E19" s="752"/>
      <c r="F19" s="756"/>
      <c r="G19" s="751"/>
      <c r="H19" s="752"/>
      <c r="I19" s="756"/>
      <c r="J19" s="18"/>
    </row>
    <row r="20" spans="1:10" ht="12.75" customHeight="1">
      <c r="A20" s="675" t="s">
        <v>52</v>
      </c>
      <c r="B20" s="676"/>
      <c r="C20" s="22">
        <f>SUM('SO 02_Výkaz výměr'!AH12:AH207)</f>
        <v>0</v>
      </c>
      <c r="D20" s="753"/>
      <c r="E20" s="754"/>
      <c r="F20" s="757"/>
      <c r="G20" s="751"/>
      <c r="H20" s="752"/>
      <c r="I20" s="756"/>
      <c r="J20" s="18"/>
    </row>
    <row r="21" spans="1:10" ht="12.75" customHeight="1">
      <c r="A21" s="675" t="s">
        <v>53</v>
      </c>
      <c r="B21" s="676"/>
      <c r="C21" s="22">
        <f>SUM('SO 02_Výkaz výměr'!Z12:Z207)</f>
        <v>0</v>
      </c>
      <c r="D21" s="745"/>
      <c r="E21" s="746"/>
      <c r="F21" s="108"/>
      <c r="G21" s="753"/>
      <c r="H21" s="754"/>
      <c r="I21" s="757"/>
      <c r="J21" s="18"/>
    </row>
    <row r="22" spans="1:10" ht="16.95" customHeight="1">
      <c r="A22" s="675" t="s">
        <v>54</v>
      </c>
      <c r="B22" s="676"/>
      <c r="C22" s="22">
        <f>SUM(C14:C21)</f>
        <v>0</v>
      </c>
      <c r="D22" s="747" t="s">
        <v>55</v>
      </c>
      <c r="E22" s="748"/>
      <c r="F22" s="106">
        <f>SUM(F14:F21)</f>
        <v>0</v>
      </c>
      <c r="G22" s="747" t="s">
        <v>56</v>
      </c>
      <c r="H22" s="748"/>
      <c r="I22" s="106">
        <f>SUM(I14:I21)</f>
        <v>0</v>
      </c>
      <c r="J22" s="18"/>
    </row>
    <row r="23" spans="1:10" ht="12.75" customHeight="1" thickBot="1">
      <c r="A23" s="26"/>
      <c r="B23" s="26"/>
      <c r="C23" s="27"/>
      <c r="D23" s="675"/>
      <c r="E23" s="676"/>
      <c r="F23" s="28"/>
      <c r="G23" s="675"/>
      <c r="H23" s="676"/>
      <c r="I23" s="22"/>
      <c r="J23" s="18"/>
    </row>
    <row r="24" spans="4:9" ht="12.75" customHeight="1">
      <c r="D24" s="26"/>
      <c r="E24" s="26"/>
      <c r="F24" s="29"/>
      <c r="G24" s="675"/>
      <c r="H24" s="676"/>
      <c r="I24" s="30"/>
    </row>
    <row r="25" spans="6:10" ht="12.75" customHeight="1">
      <c r="F25" s="31"/>
      <c r="G25" s="675"/>
      <c r="H25" s="676"/>
      <c r="I25" s="22"/>
      <c r="J25" s="18"/>
    </row>
    <row r="26" spans="1:9" ht="15">
      <c r="A26" s="16"/>
      <c r="B26" s="16"/>
      <c r="C26" s="16"/>
      <c r="G26" s="26"/>
      <c r="H26" s="26"/>
      <c r="I26" s="26"/>
    </row>
    <row r="27" spans="1:9" ht="12.75" customHeight="1">
      <c r="A27" s="679" t="s">
        <v>57</v>
      </c>
      <c r="B27" s="680"/>
      <c r="C27" s="32">
        <v>0</v>
      </c>
      <c r="D27" s="33"/>
      <c r="E27" s="16"/>
      <c r="F27" s="16"/>
      <c r="G27" s="16"/>
      <c r="H27" s="16"/>
      <c r="I27" s="16"/>
    </row>
    <row r="28" spans="1:10" ht="12.75" customHeight="1">
      <c r="A28" s="679" t="s">
        <v>58</v>
      </c>
      <c r="B28" s="680"/>
      <c r="C28" s="32">
        <v>0</v>
      </c>
      <c r="D28" s="679" t="s">
        <v>59</v>
      </c>
      <c r="E28" s="680"/>
      <c r="F28" s="32">
        <v>0</v>
      </c>
      <c r="G28" s="679" t="s">
        <v>60</v>
      </c>
      <c r="H28" s="680"/>
      <c r="I28" s="32">
        <f>SUM(C27:C29)</f>
        <v>0</v>
      </c>
      <c r="J28" s="18"/>
    </row>
    <row r="29" spans="1:10" ht="12.75" customHeight="1">
      <c r="A29" s="679" t="s">
        <v>61</v>
      </c>
      <c r="B29" s="680"/>
      <c r="C29" s="32">
        <f>SUM('SO 02_Výkaz výměr'!AL12:AL207)+(F22+I22+F23+I23+I24+I25)</f>
        <v>0</v>
      </c>
      <c r="D29" s="679" t="s">
        <v>8</v>
      </c>
      <c r="E29" s="680"/>
      <c r="F29" s="32">
        <f>ROUND(C29*(21/100),2)</f>
        <v>0</v>
      </c>
      <c r="G29" s="679" t="s">
        <v>62</v>
      </c>
      <c r="H29" s="680"/>
      <c r="I29" s="32">
        <f>SUM(F28:F29)+I28</f>
        <v>0</v>
      </c>
      <c r="J29" s="18"/>
    </row>
    <row r="30" spans="1:9" ht="13.8" thickBot="1">
      <c r="A30" s="34"/>
      <c r="B30" s="34"/>
      <c r="C30" s="34"/>
      <c r="D30" s="34"/>
      <c r="E30" s="34"/>
      <c r="F30" s="34"/>
      <c r="G30" s="34"/>
      <c r="H30" s="34"/>
      <c r="I30" s="34"/>
    </row>
    <row r="31" spans="1:10" ht="12.75" customHeight="1">
      <c r="A31" s="683" t="s">
        <v>63</v>
      </c>
      <c r="B31" s="684"/>
      <c r="C31" s="685"/>
      <c r="D31" s="683" t="s">
        <v>64</v>
      </c>
      <c r="E31" s="684"/>
      <c r="F31" s="685"/>
      <c r="G31" s="683" t="s">
        <v>65</v>
      </c>
      <c r="H31" s="684"/>
      <c r="I31" s="685"/>
      <c r="J31" s="35"/>
    </row>
    <row r="32" spans="1:10" ht="12.75" customHeight="1">
      <c r="A32" s="686"/>
      <c r="B32" s="687"/>
      <c r="C32" s="688"/>
      <c r="D32" s="686"/>
      <c r="E32" s="687"/>
      <c r="F32" s="688"/>
      <c r="G32" s="686"/>
      <c r="H32" s="687"/>
      <c r="I32" s="688"/>
      <c r="J32" s="35"/>
    </row>
    <row r="33" spans="1:10" ht="12.75" customHeight="1">
      <c r="A33" s="686"/>
      <c r="B33" s="687"/>
      <c r="C33" s="688"/>
      <c r="D33" s="686"/>
      <c r="E33" s="687"/>
      <c r="F33" s="688"/>
      <c r="G33" s="686"/>
      <c r="H33" s="687"/>
      <c r="I33" s="688"/>
      <c r="J33" s="35"/>
    </row>
    <row r="34" spans="1:10" ht="12.75" customHeight="1">
      <c r="A34" s="686"/>
      <c r="B34" s="687"/>
      <c r="C34" s="688"/>
      <c r="D34" s="686"/>
      <c r="E34" s="687"/>
      <c r="F34" s="688"/>
      <c r="G34" s="686"/>
      <c r="H34" s="687"/>
      <c r="I34" s="688"/>
      <c r="J34" s="35"/>
    </row>
    <row r="35" spans="1:10" ht="12.75" customHeight="1" thickBot="1">
      <c r="A35" s="689" t="s">
        <v>66</v>
      </c>
      <c r="B35" s="690"/>
      <c r="C35" s="691"/>
      <c r="D35" s="689" t="s">
        <v>66</v>
      </c>
      <c r="E35" s="690"/>
      <c r="F35" s="691"/>
      <c r="G35" s="689" t="s">
        <v>66</v>
      </c>
      <c r="H35" s="690"/>
      <c r="I35" s="691"/>
      <c r="J35" s="35"/>
    </row>
    <row r="36" spans="1:9" ht="10.8" customHeight="1">
      <c r="A36" s="36" t="s">
        <v>67</v>
      </c>
      <c r="B36" s="37"/>
      <c r="C36" s="37"/>
      <c r="D36" s="37"/>
      <c r="E36" s="37"/>
      <c r="F36" s="37"/>
      <c r="G36" s="37"/>
      <c r="H36" s="37"/>
      <c r="I36" s="37"/>
    </row>
    <row r="37" spans="1:9" ht="12.75" customHeight="1">
      <c r="A37" s="656"/>
      <c r="B37" s="647"/>
      <c r="C37" s="647"/>
      <c r="D37" s="647"/>
      <c r="E37" s="647"/>
      <c r="F37" s="647"/>
      <c r="G37" s="647"/>
      <c r="H37" s="647"/>
      <c r="I37" s="647"/>
    </row>
  </sheetData>
  <sheetProtection algorithmName="SHA-512" hashValue="VHjyfJpa5ILkeBpAYj70Auyvt28t+linKZb/ssjf1pEzt0im7nfebKbvhKhNslRfRcEyXD3Rb2tckyGiwRRlDA==" saltValue="0GrAQASmrV5PwiW9jWNFFQ==" spinCount="100000" sheet="1" objects="1" scenarios="1"/>
  <mergeCells count="76">
    <mergeCell ref="A37:I37"/>
    <mergeCell ref="D14:E16"/>
    <mergeCell ref="F14:F16"/>
    <mergeCell ref="G14:H16"/>
    <mergeCell ref="I14:I16"/>
    <mergeCell ref="D17:E20"/>
    <mergeCell ref="F17:F20"/>
    <mergeCell ref="G17:H21"/>
    <mergeCell ref="I17:I2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A22:B22"/>
    <mergeCell ref="D22:E22"/>
    <mergeCell ref="G22:H22"/>
    <mergeCell ref="D23:E23"/>
    <mergeCell ref="G23:H23"/>
    <mergeCell ref="G24:H24"/>
    <mergeCell ref="G25:H25"/>
    <mergeCell ref="A27:B27"/>
    <mergeCell ref="A20:B20"/>
    <mergeCell ref="A12:I12"/>
    <mergeCell ref="B13:C13"/>
    <mergeCell ref="E13:F13"/>
    <mergeCell ref="H13:I13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11F4-50FB-4D3F-99AD-268CE9FDBE92}">
  <sheetPr>
    <tabColor theme="4" tint="0.7999799847602844"/>
    <pageSetUpPr fitToPage="1"/>
  </sheetPr>
  <dimension ref="A1:BJ210"/>
  <sheetViews>
    <sheetView zoomScale="50" zoomScaleNormal="50" workbookViewId="0" topLeftCell="A1">
      <pane ySplit="11" topLeftCell="A147" activePane="bottomLeft" state="frozen"/>
      <selection pane="topLeft" activeCell="M15" sqref="M15"/>
      <selection pane="bottomLeft" activeCell="P171" sqref="P171"/>
    </sheetView>
  </sheetViews>
  <sheetFormatPr defaultColWidth="11.57421875" defaultRowHeight="15"/>
  <cols>
    <col min="1" max="1" width="3.7109375" style="52" customWidth="1"/>
    <col min="2" max="2" width="14.28125" style="52" customWidth="1"/>
    <col min="3" max="3" width="131.7109375" style="52" customWidth="1"/>
    <col min="4" max="5" width="12.140625" style="52" customWidth="1"/>
    <col min="6" max="6" width="8.00390625" style="52" customWidth="1"/>
    <col min="7" max="7" width="12.7109375" style="52" customWidth="1"/>
    <col min="8" max="8" width="12.00390625" style="52" customWidth="1"/>
    <col min="9" max="11" width="14.28125" style="52" customWidth="1"/>
    <col min="12" max="12" width="14.7109375" style="52" customWidth="1"/>
    <col min="13" max="24" width="11.57421875" style="52" customWidth="1"/>
    <col min="25" max="62" width="9.7109375" style="52" hidden="1" customWidth="1"/>
    <col min="63" max="256" width="11.57421875" style="52" customWidth="1"/>
    <col min="257" max="257" width="3.7109375" style="52" customWidth="1"/>
    <col min="258" max="258" width="14.28125" style="52" customWidth="1"/>
    <col min="259" max="259" width="131.7109375" style="52" customWidth="1"/>
    <col min="260" max="261" width="12.140625" style="52" customWidth="1"/>
    <col min="262" max="262" width="8.00390625" style="52" customWidth="1"/>
    <col min="263" max="263" width="12.7109375" style="52" customWidth="1"/>
    <col min="264" max="264" width="12.00390625" style="52" customWidth="1"/>
    <col min="265" max="267" width="14.28125" style="52" customWidth="1"/>
    <col min="268" max="268" width="14.7109375" style="52" customWidth="1"/>
    <col min="269" max="280" width="11.57421875" style="52" customWidth="1"/>
    <col min="281" max="318" width="11.57421875" style="52" hidden="1" customWidth="1"/>
    <col min="319" max="512" width="11.57421875" style="52" customWidth="1"/>
    <col min="513" max="513" width="3.7109375" style="52" customWidth="1"/>
    <col min="514" max="514" width="14.28125" style="52" customWidth="1"/>
    <col min="515" max="515" width="131.7109375" style="52" customWidth="1"/>
    <col min="516" max="517" width="12.140625" style="52" customWidth="1"/>
    <col min="518" max="518" width="8.00390625" style="52" customWidth="1"/>
    <col min="519" max="519" width="12.7109375" style="52" customWidth="1"/>
    <col min="520" max="520" width="12.00390625" style="52" customWidth="1"/>
    <col min="521" max="523" width="14.28125" style="52" customWidth="1"/>
    <col min="524" max="524" width="14.7109375" style="52" customWidth="1"/>
    <col min="525" max="536" width="11.57421875" style="52" customWidth="1"/>
    <col min="537" max="574" width="11.57421875" style="52" hidden="1" customWidth="1"/>
    <col min="575" max="768" width="11.57421875" style="52" customWidth="1"/>
    <col min="769" max="769" width="3.7109375" style="52" customWidth="1"/>
    <col min="770" max="770" width="14.28125" style="52" customWidth="1"/>
    <col min="771" max="771" width="131.7109375" style="52" customWidth="1"/>
    <col min="772" max="773" width="12.140625" style="52" customWidth="1"/>
    <col min="774" max="774" width="8.00390625" style="52" customWidth="1"/>
    <col min="775" max="775" width="12.7109375" style="52" customWidth="1"/>
    <col min="776" max="776" width="12.00390625" style="52" customWidth="1"/>
    <col min="777" max="779" width="14.28125" style="52" customWidth="1"/>
    <col min="780" max="780" width="14.7109375" style="52" customWidth="1"/>
    <col min="781" max="792" width="11.57421875" style="52" customWidth="1"/>
    <col min="793" max="830" width="11.57421875" style="52" hidden="1" customWidth="1"/>
    <col min="831" max="1024" width="11.57421875" style="52" customWidth="1"/>
    <col min="1025" max="1025" width="3.7109375" style="52" customWidth="1"/>
    <col min="1026" max="1026" width="14.28125" style="52" customWidth="1"/>
    <col min="1027" max="1027" width="131.7109375" style="52" customWidth="1"/>
    <col min="1028" max="1029" width="12.140625" style="52" customWidth="1"/>
    <col min="1030" max="1030" width="8.00390625" style="52" customWidth="1"/>
    <col min="1031" max="1031" width="12.7109375" style="52" customWidth="1"/>
    <col min="1032" max="1032" width="12.00390625" style="52" customWidth="1"/>
    <col min="1033" max="1035" width="14.28125" style="52" customWidth="1"/>
    <col min="1036" max="1036" width="14.7109375" style="52" customWidth="1"/>
    <col min="1037" max="1048" width="11.57421875" style="52" customWidth="1"/>
    <col min="1049" max="1086" width="11.57421875" style="52" hidden="1" customWidth="1"/>
    <col min="1087" max="1280" width="11.57421875" style="52" customWidth="1"/>
    <col min="1281" max="1281" width="3.7109375" style="52" customWidth="1"/>
    <col min="1282" max="1282" width="14.28125" style="52" customWidth="1"/>
    <col min="1283" max="1283" width="131.7109375" style="52" customWidth="1"/>
    <col min="1284" max="1285" width="12.140625" style="52" customWidth="1"/>
    <col min="1286" max="1286" width="8.00390625" style="52" customWidth="1"/>
    <col min="1287" max="1287" width="12.7109375" style="52" customWidth="1"/>
    <col min="1288" max="1288" width="12.00390625" style="52" customWidth="1"/>
    <col min="1289" max="1291" width="14.28125" style="52" customWidth="1"/>
    <col min="1292" max="1292" width="14.7109375" style="52" customWidth="1"/>
    <col min="1293" max="1304" width="11.57421875" style="52" customWidth="1"/>
    <col min="1305" max="1342" width="11.57421875" style="52" hidden="1" customWidth="1"/>
    <col min="1343" max="1536" width="11.57421875" style="52" customWidth="1"/>
    <col min="1537" max="1537" width="3.7109375" style="52" customWidth="1"/>
    <col min="1538" max="1538" width="14.28125" style="52" customWidth="1"/>
    <col min="1539" max="1539" width="131.7109375" style="52" customWidth="1"/>
    <col min="1540" max="1541" width="12.140625" style="52" customWidth="1"/>
    <col min="1542" max="1542" width="8.00390625" style="52" customWidth="1"/>
    <col min="1543" max="1543" width="12.7109375" style="52" customWidth="1"/>
    <col min="1544" max="1544" width="12.00390625" style="52" customWidth="1"/>
    <col min="1545" max="1547" width="14.28125" style="52" customWidth="1"/>
    <col min="1548" max="1548" width="14.7109375" style="52" customWidth="1"/>
    <col min="1549" max="1560" width="11.57421875" style="52" customWidth="1"/>
    <col min="1561" max="1598" width="11.57421875" style="52" hidden="1" customWidth="1"/>
    <col min="1599" max="1792" width="11.57421875" style="52" customWidth="1"/>
    <col min="1793" max="1793" width="3.7109375" style="52" customWidth="1"/>
    <col min="1794" max="1794" width="14.28125" style="52" customWidth="1"/>
    <col min="1795" max="1795" width="131.7109375" style="52" customWidth="1"/>
    <col min="1796" max="1797" width="12.140625" style="52" customWidth="1"/>
    <col min="1798" max="1798" width="8.00390625" style="52" customWidth="1"/>
    <col min="1799" max="1799" width="12.7109375" style="52" customWidth="1"/>
    <col min="1800" max="1800" width="12.00390625" style="52" customWidth="1"/>
    <col min="1801" max="1803" width="14.28125" style="52" customWidth="1"/>
    <col min="1804" max="1804" width="14.7109375" style="52" customWidth="1"/>
    <col min="1805" max="1816" width="11.57421875" style="52" customWidth="1"/>
    <col min="1817" max="1854" width="11.57421875" style="52" hidden="1" customWidth="1"/>
    <col min="1855" max="2048" width="11.57421875" style="52" customWidth="1"/>
    <col min="2049" max="2049" width="3.7109375" style="52" customWidth="1"/>
    <col min="2050" max="2050" width="14.28125" style="52" customWidth="1"/>
    <col min="2051" max="2051" width="131.7109375" style="52" customWidth="1"/>
    <col min="2052" max="2053" width="12.140625" style="52" customWidth="1"/>
    <col min="2054" max="2054" width="8.00390625" style="52" customWidth="1"/>
    <col min="2055" max="2055" width="12.7109375" style="52" customWidth="1"/>
    <col min="2056" max="2056" width="12.00390625" style="52" customWidth="1"/>
    <col min="2057" max="2059" width="14.28125" style="52" customWidth="1"/>
    <col min="2060" max="2060" width="14.7109375" style="52" customWidth="1"/>
    <col min="2061" max="2072" width="11.57421875" style="52" customWidth="1"/>
    <col min="2073" max="2110" width="11.57421875" style="52" hidden="1" customWidth="1"/>
    <col min="2111" max="2304" width="11.57421875" style="52" customWidth="1"/>
    <col min="2305" max="2305" width="3.7109375" style="52" customWidth="1"/>
    <col min="2306" max="2306" width="14.28125" style="52" customWidth="1"/>
    <col min="2307" max="2307" width="131.7109375" style="52" customWidth="1"/>
    <col min="2308" max="2309" width="12.140625" style="52" customWidth="1"/>
    <col min="2310" max="2310" width="8.00390625" style="52" customWidth="1"/>
    <col min="2311" max="2311" width="12.7109375" style="52" customWidth="1"/>
    <col min="2312" max="2312" width="12.00390625" style="52" customWidth="1"/>
    <col min="2313" max="2315" width="14.28125" style="52" customWidth="1"/>
    <col min="2316" max="2316" width="14.7109375" style="52" customWidth="1"/>
    <col min="2317" max="2328" width="11.57421875" style="52" customWidth="1"/>
    <col min="2329" max="2366" width="11.57421875" style="52" hidden="1" customWidth="1"/>
    <col min="2367" max="2560" width="11.57421875" style="52" customWidth="1"/>
    <col min="2561" max="2561" width="3.7109375" style="52" customWidth="1"/>
    <col min="2562" max="2562" width="14.28125" style="52" customWidth="1"/>
    <col min="2563" max="2563" width="131.7109375" style="52" customWidth="1"/>
    <col min="2564" max="2565" width="12.140625" style="52" customWidth="1"/>
    <col min="2566" max="2566" width="8.00390625" style="52" customWidth="1"/>
    <col min="2567" max="2567" width="12.7109375" style="52" customWidth="1"/>
    <col min="2568" max="2568" width="12.00390625" style="52" customWidth="1"/>
    <col min="2569" max="2571" width="14.28125" style="52" customWidth="1"/>
    <col min="2572" max="2572" width="14.7109375" style="52" customWidth="1"/>
    <col min="2573" max="2584" width="11.57421875" style="52" customWidth="1"/>
    <col min="2585" max="2622" width="11.57421875" style="52" hidden="1" customWidth="1"/>
    <col min="2623" max="2816" width="11.57421875" style="52" customWidth="1"/>
    <col min="2817" max="2817" width="3.7109375" style="52" customWidth="1"/>
    <col min="2818" max="2818" width="14.28125" style="52" customWidth="1"/>
    <col min="2819" max="2819" width="131.7109375" style="52" customWidth="1"/>
    <col min="2820" max="2821" width="12.140625" style="52" customWidth="1"/>
    <col min="2822" max="2822" width="8.00390625" style="52" customWidth="1"/>
    <col min="2823" max="2823" width="12.7109375" style="52" customWidth="1"/>
    <col min="2824" max="2824" width="12.00390625" style="52" customWidth="1"/>
    <col min="2825" max="2827" width="14.28125" style="52" customWidth="1"/>
    <col min="2828" max="2828" width="14.7109375" style="52" customWidth="1"/>
    <col min="2829" max="2840" width="11.57421875" style="52" customWidth="1"/>
    <col min="2841" max="2878" width="11.57421875" style="52" hidden="1" customWidth="1"/>
    <col min="2879" max="3072" width="11.57421875" style="52" customWidth="1"/>
    <col min="3073" max="3073" width="3.7109375" style="52" customWidth="1"/>
    <col min="3074" max="3074" width="14.28125" style="52" customWidth="1"/>
    <col min="3075" max="3075" width="131.7109375" style="52" customWidth="1"/>
    <col min="3076" max="3077" width="12.140625" style="52" customWidth="1"/>
    <col min="3078" max="3078" width="8.00390625" style="52" customWidth="1"/>
    <col min="3079" max="3079" width="12.7109375" style="52" customWidth="1"/>
    <col min="3080" max="3080" width="12.00390625" style="52" customWidth="1"/>
    <col min="3081" max="3083" width="14.28125" style="52" customWidth="1"/>
    <col min="3084" max="3084" width="14.7109375" style="52" customWidth="1"/>
    <col min="3085" max="3096" width="11.57421875" style="52" customWidth="1"/>
    <col min="3097" max="3134" width="11.57421875" style="52" hidden="1" customWidth="1"/>
    <col min="3135" max="3328" width="11.57421875" style="52" customWidth="1"/>
    <col min="3329" max="3329" width="3.7109375" style="52" customWidth="1"/>
    <col min="3330" max="3330" width="14.28125" style="52" customWidth="1"/>
    <col min="3331" max="3331" width="131.7109375" style="52" customWidth="1"/>
    <col min="3332" max="3333" width="12.140625" style="52" customWidth="1"/>
    <col min="3334" max="3334" width="8.00390625" style="52" customWidth="1"/>
    <col min="3335" max="3335" width="12.7109375" style="52" customWidth="1"/>
    <col min="3336" max="3336" width="12.00390625" style="52" customWidth="1"/>
    <col min="3337" max="3339" width="14.28125" style="52" customWidth="1"/>
    <col min="3340" max="3340" width="14.7109375" style="52" customWidth="1"/>
    <col min="3341" max="3352" width="11.57421875" style="52" customWidth="1"/>
    <col min="3353" max="3390" width="11.57421875" style="52" hidden="1" customWidth="1"/>
    <col min="3391" max="3584" width="11.57421875" style="52" customWidth="1"/>
    <col min="3585" max="3585" width="3.7109375" style="52" customWidth="1"/>
    <col min="3586" max="3586" width="14.28125" style="52" customWidth="1"/>
    <col min="3587" max="3587" width="131.7109375" style="52" customWidth="1"/>
    <col min="3588" max="3589" width="12.140625" style="52" customWidth="1"/>
    <col min="3590" max="3590" width="8.00390625" style="52" customWidth="1"/>
    <col min="3591" max="3591" width="12.7109375" style="52" customWidth="1"/>
    <col min="3592" max="3592" width="12.00390625" style="52" customWidth="1"/>
    <col min="3593" max="3595" width="14.28125" style="52" customWidth="1"/>
    <col min="3596" max="3596" width="14.7109375" style="52" customWidth="1"/>
    <col min="3597" max="3608" width="11.57421875" style="52" customWidth="1"/>
    <col min="3609" max="3646" width="11.57421875" style="52" hidden="1" customWidth="1"/>
    <col min="3647" max="3840" width="11.57421875" style="52" customWidth="1"/>
    <col min="3841" max="3841" width="3.7109375" style="52" customWidth="1"/>
    <col min="3842" max="3842" width="14.28125" style="52" customWidth="1"/>
    <col min="3843" max="3843" width="131.7109375" style="52" customWidth="1"/>
    <col min="3844" max="3845" width="12.140625" style="52" customWidth="1"/>
    <col min="3846" max="3846" width="8.00390625" style="52" customWidth="1"/>
    <col min="3847" max="3847" width="12.7109375" style="52" customWidth="1"/>
    <col min="3848" max="3848" width="12.00390625" style="52" customWidth="1"/>
    <col min="3849" max="3851" width="14.28125" style="52" customWidth="1"/>
    <col min="3852" max="3852" width="14.7109375" style="52" customWidth="1"/>
    <col min="3853" max="3864" width="11.57421875" style="52" customWidth="1"/>
    <col min="3865" max="3902" width="11.57421875" style="52" hidden="1" customWidth="1"/>
    <col min="3903" max="4096" width="11.57421875" style="52" customWidth="1"/>
    <col min="4097" max="4097" width="3.7109375" style="52" customWidth="1"/>
    <col min="4098" max="4098" width="14.28125" style="52" customWidth="1"/>
    <col min="4099" max="4099" width="131.7109375" style="52" customWidth="1"/>
    <col min="4100" max="4101" width="12.140625" style="52" customWidth="1"/>
    <col min="4102" max="4102" width="8.00390625" style="52" customWidth="1"/>
    <col min="4103" max="4103" width="12.7109375" style="52" customWidth="1"/>
    <col min="4104" max="4104" width="12.00390625" style="52" customWidth="1"/>
    <col min="4105" max="4107" width="14.28125" style="52" customWidth="1"/>
    <col min="4108" max="4108" width="14.7109375" style="52" customWidth="1"/>
    <col min="4109" max="4120" width="11.57421875" style="52" customWidth="1"/>
    <col min="4121" max="4158" width="11.57421875" style="52" hidden="1" customWidth="1"/>
    <col min="4159" max="4352" width="11.57421875" style="52" customWidth="1"/>
    <col min="4353" max="4353" width="3.7109375" style="52" customWidth="1"/>
    <col min="4354" max="4354" width="14.28125" style="52" customWidth="1"/>
    <col min="4355" max="4355" width="131.7109375" style="52" customWidth="1"/>
    <col min="4356" max="4357" width="12.140625" style="52" customWidth="1"/>
    <col min="4358" max="4358" width="8.00390625" style="52" customWidth="1"/>
    <col min="4359" max="4359" width="12.7109375" style="52" customWidth="1"/>
    <col min="4360" max="4360" width="12.00390625" style="52" customWidth="1"/>
    <col min="4361" max="4363" width="14.28125" style="52" customWidth="1"/>
    <col min="4364" max="4364" width="14.7109375" style="52" customWidth="1"/>
    <col min="4365" max="4376" width="11.57421875" style="52" customWidth="1"/>
    <col min="4377" max="4414" width="11.57421875" style="52" hidden="1" customWidth="1"/>
    <col min="4415" max="4608" width="11.57421875" style="52" customWidth="1"/>
    <col min="4609" max="4609" width="3.7109375" style="52" customWidth="1"/>
    <col min="4610" max="4610" width="14.28125" style="52" customWidth="1"/>
    <col min="4611" max="4611" width="131.7109375" style="52" customWidth="1"/>
    <col min="4612" max="4613" width="12.140625" style="52" customWidth="1"/>
    <col min="4614" max="4614" width="8.00390625" style="52" customWidth="1"/>
    <col min="4615" max="4615" width="12.7109375" style="52" customWidth="1"/>
    <col min="4616" max="4616" width="12.00390625" style="52" customWidth="1"/>
    <col min="4617" max="4619" width="14.28125" style="52" customWidth="1"/>
    <col min="4620" max="4620" width="14.7109375" style="52" customWidth="1"/>
    <col min="4621" max="4632" width="11.57421875" style="52" customWidth="1"/>
    <col min="4633" max="4670" width="11.57421875" style="52" hidden="1" customWidth="1"/>
    <col min="4671" max="4864" width="11.57421875" style="52" customWidth="1"/>
    <col min="4865" max="4865" width="3.7109375" style="52" customWidth="1"/>
    <col min="4866" max="4866" width="14.28125" style="52" customWidth="1"/>
    <col min="4867" max="4867" width="131.7109375" style="52" customWidth="1"/>
    <col min="4868" max="4869" width="12.140625" style="52" customWidth="1"/>
    <col min="4870" max="4870" width="8.00390625" style="52" customWidth="1"/>
    <col min="4871" max="4871" width="12.7109375" style="52" customWidth="1"/>
    <col min="4872" max="4872" width="12.00390625" style="52" customWidth="1"/>
    <col min="4873" max="4875" width="14.28125" style="52" customWidth="1"/>
    <col min="4876" max="4876" width="14.7109375" style="52" customWidth="1"/>
    <col min="4877" max="4888" width="11.57421875" style="52" customWidth="1"/>
    <col min="4889" max="4926" width="11.57421875" style="52" hidden="1" customWidth="1"/>
    <col min="4927" max="5120" width="11.57421875" style="52" customWidth="1"/>
    <col min="5121" max="5121" width="3.7109375" style="52" customWidth="1"/>
    <col min="5122" max="5122" width="14.28125" style="52" customWidth="1"/>
    <col min="5123" max="5123" width="131.7109375" style="52" customWidth="1"/>
    <col min="5124" max="5125" width="12.140625" style="52" customWidth="1"/>
    <col min="5126" max="5126" width="8.00390625" style="52" customWidth="1"/>
    <col min="5127" max="5127" width="12.7109375" style="52" customWidth="1"/>
    <col min="5128" max="5128" width="12.00390625" style="52" customWidth="1"/>
    <col min="5129" max="5131" width="14.28125" style="52" customWidth="1"/>
    <col min="5132" max="5132" width="14.7109375" style="52" customWidth="1"/>
    <col min="5133" max="5144" width="11.57421875" style="52" customWidth="1"/>
    <col min="5145" max="5182" width="11.57421875" style="52" hidden="1" customWidth="1"/>
    <col min="5183" max="5376" width="11.57421875" style="52" customWidth="1"/>
    <col min="5377" max="5377" width="3.7109375" style="52" customWidth="1"/>
    <col min="5378" max="5378" width="14.28125" style="52" customWidth="1"/>
    <col min="5379" max="5379" width="131.7109375" style="52" customWidth="1"/>
    <col min="5380" max="5381" width="12.140625" style="52" customWidth="1"/>
    <col min="5382" max="5382" width="8.00390625" style="52" customWidth="1"/>
    <col min="5383" max="5383" width="12.7109375" style="52" customWidth="1"/>
    <col min="5384" max="5384" width="12.00390625" style="52" customWidth="1"/>
    <col min="5385" max="5387" width="14.28125" style="52" customWidth="1"/>
    <col min="5388" max="5388" width="14.7109375" style="52" customWidth="1"/>
    <col min="5389" max="5400" width="11.57421875" style="52" customWidth="1"/>
    <col min="5401" max="5438" width="11.57421875" style="52" hidden="1" customWidth="1"/>
    <col min="5439" max="5632" width="11.57421875" style="52" customWidth="1"/>
    <col min="5633" max="5633" width="3.7109375" style="52" customWidth="1"/>
    <col min="5634" max="5634" width="14.28125" style="52" customWidth="1"/>
    <col min="5635" max="5635" width="131.7109375" style="52" customWidth="1"/>
    <col min="5636" max="5637" width="12.140625" style="52" customWidth="1"/>
    <col min="5638" max="5638" width="8.00390625" style="52" customWidth="1"/>
    <col min="5639" max="5639" width="12.7109375" style="52" customWidth="1"/>
    <col min="5640" max="5640" width="12.00390625" style="52" customWidth="1"/>
    <col min="5641" max="5643" width="14.28125" style="52" customWidth="1"/>
    <col min="5644" max="5644" width="14.7109375" style="52" customWidth="1"/>
    <col min="5645" max="5656" width="11.57421875" style="52" customWidth="1"/>
    <col min="5657" max="5694" width="11.57421875" style="52" hidden="1" customWidth="1"/>
    <col min="5695" max="5888" width="11.57421875" style="52" customWidth="1"/>
    <col min="5889" max="5889" width="3.7109375" style="52" customWidth="1"/>
    <col min="5890" max="5890" width="14.28125" style="52" customWidth="1"/>
    <col min="5891" max="5891" width="131.7109375" style="52" customWidth="1"/>
    <col min="5892" max="5893" width="12.140625" style="52" customWidth="1"/>
    <col min="5894" max="5894" width="8.00390625" style="52" customWidth="1"/>
    <col min="5895" max="5895" width="12.7109375" style="52" customWidth="1"/>
    <col min="5896" max="5896" width="12.00390625" style="52" customWidth="1"/>
    <col min="5897" max="5899" width="14.28125" style="52" customWidth="1"/>
    <col min="5900" max="5900" width="14.7109375" style="52" customWidth="1"/>
    <col min="5901" max="5912" width="11.57421875" style="52" customWidth="1"/>
    <col min="5913" max="5950" width="11.57421875" style="52" hidden="1" customWidth="1"/>
    <col min="5951" max="6144" width="11.57421875" style="52" customWidth="1"/>
    <col min="6145" max="6145" width="3.7109375" style="52" customWidth="1"/>
    <col min="6146" max="6146" width="14.28125" style="52" customWidth="1"/>
    <col min="6147" max="6147" width="131.7109375" style="52" customWidth="1"/>
    <col min="6148" max="6149" width="12.140625" style="52" customWidth="1"/>
    <col min="6150" max="6150" width="8.00390625" style="52" customWidth="1"/>
    <col min="6151" max="6151" width="12.7109375" style="52" customWidth="1"/>
    <col min="6152" max="6152" width="12.00390625" style="52" customWidth="1"/>
    <col min="6153" max="6155" width="14.28125" style="52" customWidth="1"/>
    <col min="6156" max="6156" width="14.7109375" style="52" customWidth="1"/>
    <col min="6157" max="6168" width="11.57421875" style="52" customWidth="1"/>
    <col min="6169" max="6206" width="11.57421875" style="52" hidden="1" customWidth="1"/>
    <col min="6207" max="6400" width="11.57421875" style="52" customWidth="1"/>
    <col min="6401" max="6401" width="3.7109375" style="52" customWidth="1"/>
    <col min="6402" max="6402" width="14.28125" style="52" customWidth="1"/>
    <col min="6403" max="6403" width="131.7109375" style="52" customWidth="1"/>
    <col min="6404" max="6405" width="12.140625" style="52" customWidth="1"/>
    <col min="6406" max="6406" width="8.00390625" style="52" customWidth="1"/>
    <col min="6407" max="6407" width="12.7109375" style="52" customWidth="1"/>
    <col min="6408" max="6408" width="12.00390625" style="52" customWidth="1"/>
    <col min="6409" max="6411" width="14.28125" style="52" customWidth="1"/>
    <col min="6412" max="6412" width="14.7109375" style="52" customWidth="1"/>
    <col min="6413" max="6424" width="11.57421875" style="52" customWidth="1"/>
    <col min="6425" max="6462" width="11.57421875" style="52" hidden="1" customWidth="1"/>
    <col min="6463" max="6656" width="11.57421875" style="52" customWidth="1"/>
    <col min="6657" max="6657" width="3.7109375" style="52" customWidth="1"/>
    <col min="6658" max="6658" width="14.28125" style="52" customWidth="1"/>
    <col min="6659" max="6659" width="131.7109375" style="52" customWidth="1"/>
    <col min="6660" max="6661" width="12.140625" style="52" customWidth="1"/>
    <col min="6662" max="6662" width="8.00390625" style="52" customWidth="1"/>
    <col min="6663" max="6663" width="12.7109375" style="52" customWidth="1"/>
    <col min="6664" max="6664" width="12.00390625" style="52" customWidth="1"/>
    <col min="6665" max="6667" width="14.28125" style="52" customWidth="1"/>
    <col min="6668" max="6668" width="14.7109375" style="52" customWidth="1"/>
    <col min="6669" max="6680" width="11.57421875" style="52" customWidth="1"/>
    <col min="6681" max="6718" width="11.57421875" style="52" hidden="1" customWidth="1"/>
    <col min="6719" max="6912" width="11.57421875" style="52" customWidth="1"/>
    <col min="6913" max="6913" width="3.7109375" style="52" customWidth="1"/>
    <col min="6914" max="6914" width="14.28125" style="52" customWidth="1"/>
    <col min="6915" max="6915" width="131.7109375" style="52" customWidth="1"/>
    <col min="6916" max="6917" width="12.140625" style="52" customWidth="1"/>
    <col min="6918" max="6918" width="8.00390625" style="52" customWidth="1"/>
    <col min="6919" max="6919" width="12.7109375" style="52" customWidth="1"/>
    <col min="6920" max="6920" width="12.00390625" style="52" customWidth="1"/>
    <col min="6921" max="6923" width="14.28125" style="52" customWidth="1"/>
    <col min="6924" max="6924" width="14.7109375" style="52" customWidth="1"/>
    <col min="6925" max="6936" width="11.57421875" style="52" customWidth="1"/>
    <col min="6937" max="6974" width="11.57421875" style="52" hidden="1" customWidth="1"/>
    <col min="6975" max="7168" width="11.57421875" style="52" customWidth="1"/>
    <col min="7169" max="7169" width="3.7109375" style="52" customWidth="1"/>
    <col min="7170" max="7170" width="14.28125" style="52" customWidth="1"/>
    <col min="7171" max="7171" width="131.7109375" style="52" customWidth="1"/>
    <col min="7172" max="7173" width="12.140625" style="52" customWidth="1"/>
    <col min="7174" max="7174" width="8.00390625" style="52" customWidth="1"/>
    <col min="7175" max="7175" width="12.7109375" style="52" customWidth="1"/>
    <col min="7176" max="7176" width="12.00390625" style="52" customWidth="1"/>
    <col min="7177" max="7179" width="14.28125" style="52" customWidth="1"/>
    <col min="7180" max="7180" width="14.7109375" style="52" customWidth="1"/>
    <col min="7181" max="7192" width="11.57421875" style="52" customWidth="1"/>
    <col min="7193" max="7230" width="11.57421875" style="52" hidden="1" customWidth="1"/>
    <col min="7231" max="7424" width="11.57421875" style="52" customWidth="1"/>
    <col min="7425" max="7425" width="3.7109375" style="52" customWidth="1"/>
    <col min="7426" max="7426" width="14.28125" style="52" customWidth="1"/>
    <col min="7427" max="7427" width="131.7109375" style="52" customWidth="1"/>
    <col min="7428" max="7429" width="12.140625" style="52" customWidth="1"/>
    <col min="7430" max="7430" width="8.00390625" style="52" customWidth="1"/>
    <col min="7431" max="7431" width="12.7109375" style="52" customWidth="1"/>
    <col min="7432" max="7432" width="12.00390625" style="52" customWidth="1"/>
    <col min="7433" max="7435" width="14.28125" style="52" customWidth="1"/>
    <col min="7436" max="7436" width="14.7109375" style="52" customWidth="1"/>
    <col min="7437" max="7448" width="11.57421875" style="52" customWidth="1"/>
    <col min="7449" max="7486" width="11.57421875" style="52" hidden="1" customWidth="1"/>
    <col min="7487" max="7680" width="11.57421875" style="52" customWidth="1"/>
    <col min="7681" max="7681" width="3.7109375" style="52" customWidth="1"/>
    <col min="7682" max="7682" width="14.28125" style="52" customWidth="1"/>
    <col min="7683" max="7683" width="131.7109375" style="52" customWidth="1"/>
    <col min="7684" max="7685" width="12.140625" style="52" customWidth="1"/>
    <col min="7686" max="7686" width="8.00390625" style="52" customWidth="1"/>
    <col min="7687" max="7687" width="12.7109375" style="52" customWidth="1"/>
    <col min="7688" max="7688" width="12.00390625" style="52" customWidth="1"/>
    <col min="7689" max="7691" width="14.28125" style="52" customWidth="1"/>
    <col min="7692" max="7692" width="14.7109375" style="52" customWidth="1"/>
    <col min="7693" max="7704" width="11.57421875" style="52" customWidth="1"/>
    <col min="7705" max="7742" width="11.57421875" style="52" hidden="1" customWidth="1"/>
    <col min="7743" max="7936" width="11.57421875" style="52" customWidth="1"/>
    <col min="7937" max="7937" width="3.7109375" style="52" customWidth="1"/>
    <col min="7938" max="7938" width="14.28125" style="52" customWidth="1"/>
    <col min="7939" max="7939" width="131.7109375" style="52" customWidth="1"/>
    <col min="7940" max="7941" width="12.140625" style="52" customWidth="1"/>
    <col min="7942" max="7942" width="8.00390625" style="52" customWidth="1"/>
    <col min="7943" max="7943" width="12.7109375" style="52" customWidth="1"/>
    <col min="7944" max="7944" width="12.00390625" style="52" customWidth="1"/>
    <col min="7945" max="7947" width="14.28125" style="52" customWidth="1"/>
    <col min="7948" max="7948" width="14.7109375" style="52" customWidth="1"/>
    <col min="7949" max="7960" width="11.57421875" style="52" customWidth="1"/>
    <col min="7961" max="7998" width="11.57421875" style="52" hidden="1" customWidth="1"/>
    <col min="7999" max="8192" width="11.57421875" style="52" customWidth="1"/>
    <col min="8193" max="8193" width="3.7109375" style="52" customWidth="1"/>
    <col min="8194" max="8194" width="14.28125" style="52" customWidth="1"/>
    <col min="8195" max="8195" width="131.7109375" style="52" customWidth="1"/>
    <col min="8196" max="8197" width="12.140625" style="52" customWidth="1"/>
    <col min="8198" max="8198" width="8.00390625" style="52" customWidth="1"/>
    <col min="8199" max="8199" width="12.7109375" style="52" customWidth="1"/>
    <col min="8200" max="8200" width="12.00390625" style="52" customWidth="1"/>
    <col min="8201" max="8203" width="14.28125" style="52" customWidth="1"/>
    <col min="8204" max="8204" width="14.7109375" style="52" customWidth="1"/>
    <col min="8205" max="8216" width="11.57421875" style="52" customWidth="1"/>
    <col min="8217" max="8254" width="11.57421875" style="52" hidden="1" customWidth="1"/>
    <col min="8255" max="8448" width="11.57421875" style="52" customWidth="1"/>
    <col min="8449" max="8449" width="3.7109375" style="52" customWidth="1"/>
    <col min="8450" max="8450" width="14.28125" style="52" customWidth="1"/>
    <col min="8451" max="8451" width="131.7109375" style="52" customWidth="1"/>
    <col min="8452" max="8453" width="12.140625" style="52" customWidth="1"/>
    <col min="8454" max="8454" width="8.00390625" style="52" customWidth="1"/>
    <col min="8455" max="8455" width="12.7109375" style="52" customWidth="1"/>
    <col min="8456" max="8456" width="12.00390625" style="52" customWidth="1"/>
    <col min="8457" max="8459" width="14.28125" style="52" customWidth="1"/>
    <col min="8460" max="8460" width="14.7109375" style="52" customWidth="1"/>
    <col min="8461" max="8472" width="11.57421875" style="52" customWidth="1"/>
    <col min="8473" max="8510" width="11.57421875" style="52" hidden="1" customWidth="1"/>
    <col min="8511" max="8704" width="11.57421875" style="52" customWidth="1"/>
    <col min="8705" max="8705" width="3.7109375" style="52" customWidth="1"/>
    <col min="8706" max="8706" width="14.28125" style="52" customWidth="1"/>
    <col min="8707" max="8707" width="131.7109375" style="52" customWidth="1"/>
    <col min="8708" max="8709" width="12.140625" style="52" customWidth="1"/>
    <col min="8710" max="8710" width="8.00390625" style="52" customWidth="1"/>
    <col min="8711" max="8711" width="12.7109375" style="52" customWidth="1"/>
    <col min="8712" max="8712" width="12.00390625" style="52" customWidth="1"/>
    <col min="8713" max="8715" width="14.28125" style="52" customWidth="1"/>
    <col min="8716" max="8716" width="14.7109375" style="52" customWidth="1"/>
    <col min="8717" max="8728" width="11.57421875" style="52" customWidth="1"/>
    <col min="8729" max="8766" width="11.57421875" style="52" hidden="1" customWidth="1"/>
    <col min="8767" max="8960" width="11.57421875" style="52" customWidth="1"/>
    <col min="8961" max="8961" width="3.7109375" style="52" customWidth="1"/>
    <col min="8962" max="8962" width="14.28125" style="52" customWidth="1"/>
    <col min="8963" max="8963" width="131.7109375" style="52" customWidth="1"/>
    <col min="8964" max="8965" width="12.140625" style="52" customWidth="1"/>
    <col min="8966" max="8966" width="8.00390625" style="52" customWidth="1"/>
    <col min="8967" max="8967" width="12.7109375" style="52" customWidth="1"/>
    <col min="8968" max="8968" width="12.00390625" style="52" customWidth="1"/>
    <col min="8969" max="8971" width="14.28125" style="52" customWidth="1"/>
    <col min="8972" max="8972" width="14.7109375" style="52" customWidth="1"/>
    <col min="8973" max="8984" width="11.57421875" style="52" customWidth="1"/>
    <col min="8985" max="9022" width="11.57421875" style="52" hidden="1" customWidth="1"/>
    <col min="9023" max="9216" width="11.57421875" style="52" customWidth="1"/>
    <col min="9217" max="9217" width="3.7109375" style="52" customWidth="1"/>
    <col min="9218" max="9218" width="14.28125" style="52" customWidth="1"/>
    <col min="9219" max="9219" width="131.7109375" style="52" customWidth="1"/>
    <col min="9220" max="9221" width="12.140625" style="52" customWidth="1"/>
    <col min="9222" max="9222" width="8.00390625" style="52" customWidth="1"/>
    <col min="9223" max="9223" width="12.7109375" style="52" customWidth="1"/>
    <col min="9224" max="9224" width="12.00390625" style="52" customWidth="1"/>
    <col min="9225" max="9227" width="14.28125" style="52" customWidth="1"/>
    <col min="9228" max="9228" width="14.7109375" style="52" customWidth="1"/>
    <col min="9229" max="9240" width="11.57421875" style="52" customWidth="1"/>
    <col min="9241" max="9278" width="11.57421875" style="52" hidden="1" customWidth="1"/>
    <col min="9279" max="9472" width="11.57421875" style="52" customWidth="1"/>
    <col min="9473" max="9473" width="3.7109375" style="52" customWidth="1"/>
    <col min="9474" max="9474" width="14.28125" style="52" customWidth="1"/>
    <col min="9475" max="9475" width="131.7109375" style="52" customWidth="1"/>
    <col min="9476" max="9477" width="12.140625" style="52" customWidth="1"/>
    <col min="9478" max="9478" width="8.00390625" style="52" customWidth="1"/>
    <col min="9479" max="9479" width="12.7109375" style="52" customWidth="1"/>
    <col min="9480" max="9480" width="12.00390625" style="52" customWidth="1"/>
    <col min="9481" max="9483" width="14.28125" style="52" customWidth="1"/>
    <col min="9484" max="9484" width="14.7109375" style="52" customWidth="1"/>
    <col min="9485" max="9496" width="11.57421875" style="52" customWidth="1"/>
    <col min="9497" max="9534" width="11.57421875" style="52" hidden="1" customWidth="1"/>
    <col min="9535" max="9728" width="11.57421875" style="52" customWidth="1"/>
    <col min="9729" max="9729" width="3.7109375" style="52" customWidth="1"/>
    <col min="9730" max="9730" width="14.28125" style="52" customWidth="1"/>
    <col min="9731" max="9731" width="131.7109375" style="52" customWidth="1"/>
    <col min="9732" max="9733" width="12.140625" style="52" customWidth="1"/>
    <col min="9734" max="9734" width="8.00390625" style="52" customWidth="1"/>
    <col min="9735" max="9735" width="12.7109375" style="52" customWidth="1"/>
    <col min="9736" max="9736" width="12.00390625" style="52" customWidth="1"/>
    <col min="9737" max="9739" width="14.28125" style="52" customWidth="1"/>
    <col min="9740" max="9740" width="14.7109375" style="52" customWidth="1"/>
    <col min="9741" max="9752" width="11.57421875" style="52" customWidth="1"/>
    <col min="9753" max="9790" width="11.57421875" style="52" hidden="1" customWidth="1"/>
    <col min="9791" max="9984" width="11.57421875" style="52" customWidth="1"/>
    <col min="9985" max="9985" width="3.7109375" style="52" customWidth="1"/>
    <col min="9986" max="9986" width="14.28125" style="52" customWidth="1"/>
    <col min="9987" max="9987" width="131.7109375" style="52" customWidth="1"/>
    <col min="9988" max="9989" width="12.140625" style="52" customWidth="1"/>
    <col min="9990" max="9990" width="8.00390625" style="52" customWidth="1"/>
    <col min="9991" max="9991" width="12.7109375" style="52" customWidth="1"/>
    <col min="9992" max="9992" width="12.00390625" style="52" customWidth="1"/>
    <col min="9993" max="9995" width="14.28125" style="52" customWidth="1"/>
    <col min="9996" max="9996" width="14.7109375" style="52" customWidth="1"/>
    <col min="9997" max="10008" width="11.57421875" style="52" customWidth="1"/>
    <col min="10009" max="10046" width="11.57421875" style="52" hidden="1" customWidth="1"/>
    <col min="10047" max="10240" width="11.57421875" style="52" customWidth="1"/>
    <col min="10241" max="10241" width="3.7109375" style="52" customWidth="1"/>
    <col min="10242" max="10242" width="14.28125" style="52" customWidth="1"/>
    <col min="10243" max="10243" width="131.7109375" style="52" customWidth="1"/>
    <col min="10244" max="10245" width="12.140625" style="52" customWidth="1"/>
    <col min="10246" max="10246" width="8.00390625" style="52" customWidth="1"/>
    <col min="10247" max="10247" width="12.7109375" style="52" customWidth="1"/>
    <col min="10248" max="10248" width="12.00390625" style="52" customWidth="1"/>
    <col min="10249" max="10251" width="14.28125" style="52" customWidth="1"/>
    <col min="10252" max="10252" width="14.7109375" style="52" customWidth="1"/>
    <col min="10253" max="10264" width="11.57421875" style="52" customWidth="1"/>
    <col min="10265" max="10302" width="11.57421875" style="52" hidden="1" customWidth="1"/>
    <col min="10303" max="10496" width="11.57421875" style="52" customWidth="1"/>
    <col min="10497" max="10497" width="3.7109375" style="52" customWidth="1"/>
    <col min="10498" max="10498" width="14.28125" style="52" customWidth="1"/>
    <col min="10499" max="10499" width="131.7109375" style="52" customWidth="1"/>
    <col min="10500" max="10501" width="12.140625" style="52" customWidth="1"/>
    <col min="10502" max="10502" width="8.00390625" style="52" customWidth="1"/>
    <col min="10503" max="10503" width="12.7109375" style="52" customWidth="1"/>
    <col min="10504" max="10504" width="12.00390625" style="52" customWidth="1"/>
    <col min="10505" max="10507" width="14.28125" style="52" customWidth="1"/>
    <col min="10508" max="10508" width="14.7109375" style="52" customWidth="1"/>
    <col min="10509" max="10520" width="11.57421875" style="52" customWidth="1"/>
    <col min="10521" max="10558" width="11.57421875" style="52" hidden="1" customWidth="1"/>
    <col min="10559" max="10752" width="11.57421875" style="52" customWidth="1"/>
    <col min="10753" max="10753" width="3.7109375" style="52" customWidth="1"/>
    <col min="10754" max="10754" width="14.28125" style="52" customWidth="1"/>
    <col min="10755" max="10755" width="131.7109375" style="52" customWidth="1"/>
    <col min="10756" max="10757" width="12.140625" style="52" customWidth="1"/>
    <col min="10758" max="10758" width="8.00390625" style="52" customWidth="1"/>
    <col min="10759" max="10759" width="12.7109375" style="52" customWidth="1"/>
    <col min="10760" max="10760" width="12.00390625" style="52" customWidth="1"/>
    <col min="10761" max="10763" width="14.28125" style="52" customWidth="1"/>
    <col min="10764" max="10764" width="14.7109375" style="52" customWidth="1"/>
    <col min="10765" max="10776" width="11.57421875" style="52" customWidth="1"/>
    <col min="10777" max="10814" width="11.57421875" style="52" hidden="1" customWidth="1"/>
    <col min="10815" max="11008" width="11.57421875" style="52" customWidth="1"/>
    <col min="11009" max="11009" width="3.7109375" style="52" customWidth="1"/>
    <col min="11010" max="11010" width="14.28125" style="52" customWidth="1"/>
    <col min="11011" max="11011" width="131.7109375" style="52" customWidth="1"/>
    <col min="11012" max="11013" width="12.140625" style="52" customWidth="1"/>
    <col min="11014" max="11014" width="8.00390625" style="52" customWidth="1"/>
    <col min="11015" max="11015" width="12.7109375" style="52" customWidth="1"/>
    <col min="11016" max="11016" width="12.00390625" style="52" customWidth="1"/>
    <col min="11017" max="11019" width="14.28125" style="52" customWidth="1"/>
    <col min="11020" max="11020" width="14.7109375" style="52" customWidth="1"/>
    <col min="11021" max="11032" width="11.57421875" style="52" customWidth="1"/>
    <col min="11033" max="11070" width="11.57421875" style="52" hidden="1" customWidth="1"/>
    <col min="11071" max="11264" width="11.57421875" style="52" customWidth="1"/>
    <col min="11265" max="11265" width="3.7109375" style="52" customWidth="1"/>
    <col min="11266" max="11266" width="14.28125" style="52" customWidth="1"/>
    <col min="11267" max="11267" width="131.7109375" style="52" customWidth="1"/>
    <col min="11268" max="11269" width="12.140625" style="52" customWidth="1"/>
    <col min="11270" max="11270" width="8.00390625" style="52" customWidth="1"/>
    <col min="11271" max="11271" width="12.7109375" style="52" customWidth="1"/>
    <col min="11272" max="11272" width="12.00390625" style="52" customWidth="1"/>
    <col min="11273" max="11275" width="14.28125" style="52" customWidth="1"/>
    <col min="11276" max="11276" width="14.7109375" style="52" customWidth="1"/>
    <col min="11277" max="11288" width="11.57421875" style="52" customWidth="1"/>
    <col min="11289" max="11326" width="11.57421875" style="52" hidden="1" customWidth="1"/>
    <col min="11327" max="11520" width="11.57421875" style="52" customWidth="1"/>
    <col min="11521" max="11521" width="3.7109375" style="52" customWidth="1"/>
    <col min="11522" max="11522" width="14.28125" style="52" customWidth="1"/>
    <col min="11523" max="11523" width="131.7109375" style="52" customWidth="1"/>
    <col min="11524" max="11525" width="12.140625" style="52" customWidth="1"/>
    <col min="11526" max="11526" width="8.00390625" style="52" customWidth="1"/>
    <col min="11527" max="11527" width="12.7109375" style="52" customWidth="1"/>
    <col min="11528" max="11528" width="12.00390625" style="52" customWidth="1"/>
    <col min="11529" max="11531" width="14.28125" style="52" customWidth="1"/>
    <col min="11532" max="11532" width="14.7109375" style="52" customWidth="1"/>
    <col min="11533" max="11544" width="11.57421875" style="52" customWidth="1"/>
    <col min="11545" max="11582" width="11.57421875" style="52" hidden="1" customWidth="1"/>
    <col min="11583" max="11776" width="11.57421875" style="52" customWidth="1"/>
    <col min="11777" max="11777" width="3.7109375" style="52" customWidth="1"/>
    <col min="11778" max="11778" width="14.28125" style="52" customWidth="1"/>
    <col min="11779" max="11779" width="131.7109375" style="52" customWidth="1"/>
    <col min="11780" max="11781" width="12.140625" style="52" customWidth="1"/>
    <col min="11782" max="11782" width="8.00390625" style="52" customWidth="1"/>
    <col min="11783" max="11783" width="12.7109375" style="52" customWidth="1"/>
    <col min="11784" max="11784" width="12.00390625" style="52" customWidth="1"/>
    <col min="11785" max="11787" width="14.28125" style="52" customWidth="1"/>
    <col min="11788" max="11788" width="14.7109375" style="52" customWidth="1"/>
    <col min="11789" max="11800" width="11.57421875" style="52" customWidth="1"/>
    <col min="11801" max="11838" width="11.57421875" style="52" hidden="1" customWidth="1"/>
    <col min="11839" max="12032" width="11.57421875" style="52" customWidth="1"/>
    <col min="12033" max="12033" width="3.7109375" style="52" customWidth="1"/>
    <col min="12034" max="12034" width="14.28125" style="52" customWidth="1"/>
    <col min="12035" max="12035" width="131.7109375" style="52" customWidth="1"/>
    <col min="12036" max="12037" width="12.140625" style="52" customWidth="1"/>
    <col min="12038" max="12038" width="8.00390625" style="52" customWidth="1"/>
    <col min="12039" max="12039" width="12.7109375" style="52" customWidth="1"/>
    <col min="12040" max="12040" width="12.00390625" style="52" customWidth="1"/>
    <col min="12041" max="12043" width="14.28125" style="52" customWidth="1"/>
    <col min="12044" max="12044" width="14.7109375" style="52" customWidth="1"/>
    <col min="12045" max="12056" width="11.57421875" style="52" customWidth="1"/>
    <col min="12057" max="12094" width="11.57421875" style="52" hidden="1" customWidth="1"/>
    <col min="12095" max="12288" width="11.57421875" style="52" customWidth="1"/>
    <col min="12289" max="12289" width="3.7109375" style="52" customWidth="1"/>
    <col min="12290" max="12290" width="14.28125" style="52" customWidth="1"/>
    <col min="12291" max="12291" width="131.7109375" style="52" customWidth="1"/>
    <col min="12292" max="12293" width="12.140625" style="52" customWidth="1"/>
    <col min="12294" max="12294" width="8.00390625" style="52" customWidth="1"/>
    <col min="12295" max="12295" width="12.7109375" style="52" customWidth="1"/>
    <col min="12296" max="12296" width="12.00390625" style="52" customWidth="1"/>
    <col min="12297" max="12299" width="14.28125" style="52" customWidth="1"/>
    <col min="12300" max="12300" width="14.7109375" style="52" customWidth="1"/>
    <col min="12301" max="12312" width="11.57421875" style="52" customWidth="1"/>
    <col min="12313" max="12350" width="11.57421875" style="52" hidden="1" customWidth="1"/>
    <col min="12351" max="12544" width="11.57421875" style="52" customWidth="1"/>
    <col min="12545" max="12545" width="3.7109375" style="52" customWidth="1"/>
    <col min="12546" max="12546" width="14.28125" style="52" customWidth="1"/>
    <col min="12547" max="12547" width="131.7109375" style="52" customWidth="1"/>
    <col min="12548" max="12549" width="12.140625" style="52" customWidth="1"/>
    <col min="12550" max="12550" width="8.00390625" style="52" customWidth="1"/>
    <col min="12551" max="12551" width="12.7109375" style="52" customWidth="1"/>
    <col min="12552" max="12552" width="12.00390625" style="52" customWidth="1"/>
    <col min="12553" max="12555" width="14.28125" style="52" customWidth="1"/>
    <col min="12556" max="12556" width="14.7109375" style="52" customWidth="1"/>
    <col min="12557" max="12568" width="11.57421875" style="52" customWidth="1"/>
    <col min="12569" max="12606" width="11.57421875" style="52" hidden="1" customWidth="1"/>
    <col min="12607" max="12800" width="11.57421875" style="52" customWidth="1"/>
    <col min="12801" max="12801" width="3.7109375" style="52" customWidth="1"/>
    <col min="12802" max="12802" width="14.28125" style="52" customWidth="1"/>
    <col min="12803" max="12803" width="131.7109375" style="52" customWidth="1"/>
    <col min="12804" max="12805" width="12.140625" style="52" customWidth="1"/>
    <col min="12806" max="12806" width="8.00390625" style="52" customWidth="1"/>
    <col min="12807" max="12807" width="12.7109375" style="52" customWidth="1"/>
    <col min="12808" max="12808" width="12.00390625" style="52" customWidth="1"/>
    <col min="12809" max="12811" width="14.28125" style="52" customWidth="1"/>
    <col min="12812" max="12812" width="14.7109375" style="52" customWidth="1"/>
    <col min="12813" max="12824" width="11.57421875" style="52" customWidth="1"/>
    <col min="12825" max="12862" width="11.57421875" style="52" hidden="1" customWidth="1"/>
    <col min="12863" max="13056" width="11.57421875" style="52" customWidth="1"/>
    <col min="13057" max="13057" width="3.7109375" style="52" customWidth="1"/>
    <col min="13058" max="13058" width="14.28125" style="52" customWidth="1"/>
    <col min="13059" max="13059" width="131.7109375" style="52" customWidth="1"/>
    <col min="13060" max="13061" width="12.140625" style="52" customWidth="1"/>
    <col min="13062" max="13062" width="8.00390625" style="52" customWidth="1"/>
    <col min="13063" max="13063" width="12.7109375" style="52" customWidth="1"/>
    <col min="13064" max="13064" width="12.00390625" style="52" customWidth="1"/>
    <col min="13065" max="13067" width="14.28125" style="52" customWidth="1"/>
    <col min="13068" max="13068" width="14.7109375" style="52" customWidth="1"/>
    <col min="13069" max="13080" width="11.57421875" style="52" customWidth="1"/>
    <col min="13081" max="13118" width="11.57421875" style="52" hidden="1" customWidth="1"/>
    <col min="13119" max="13312" width="11.57421875" style="52" customWidth="1"/>
    <col min="13313" max="13313" width="3.7109375" style="52" customWidth="1"/>
    <col min="13314" max="13314" width="14.28125" style="52" customWidth="1"/>
    <col min="13315" max="13315" width="131.7109375" style="52" customWidth="1"/>
    <col min="13316" max="13317" width="12.140625" style="52" customWidth="1"/>
    <col min="13318" max="13318" width="8.00390625" style="52" customWidth="1"/>
    <col min="13319" max="13319" width="12.7109375" style="52" customWidth="1"/>
    <col min="13320" max="13320" width="12.00390625" style="52" customWidth="1"/>
    <col min="13321" max="13323" width="14.28125" style="52" customWidth="1"/>
    <col min="13324" max="13324" width="14.7109375" style="52" customWidth="1"/>
    <col min="13325" max="13336" width="11.57421875" style="52" customWidth="1"/>
    <col min="13337" max="13374" width="11.57421875" style="52" hidden="1" customWidth="1"/>
    <col min="13375" max="13568" width="11.57421875" style="52" customWidth="1"/>
    <col min="13569" max="13569" width="3.7109375" style="52" customWidth="1"/>
    <col min="13570" max="13570" width="14.28125" style="52" customWidth="1"/>
    <col min="13571" max="13571" width="131.7109375" style="52" customWidth="1"/>
    <col min="13572" max="13573" width="12.140625" style="52" customWidth="1"/>
    <col min="13574" max="13574" width="8.00390625" style="52" customWidth="1"/>
    <col min="13575" max="13575" width="12.7109375" style="52" customWidth="1"/>
    <col min="13576" max="13576" width="12.00390625" style="52" customWidth="1"/>
    <col min="13577" max="13579" width="14.28125" style="52" customWidth="1"/>
    <col min="13580" max="13580" width="14.7109375" style="52" customWidth="1"/>
    <col min="13581" max="13592" width="11.57421875" style="52" customWidth="1"/>
    <col min="13593" max="13630" width="11.57421875" style="52" hidden="1" customWidth="1"/>
    <col min="13631" max="13824" width="11.57421875" style="52" customWidth="1"/>
    <col min="13825" max="13825" width="3.7109375" style="52" customWidth="1"/>
    <col min="13826" max="13826" width="14.28125" style="52" customWidth="1"/>
    <col min="13827" max="13827" width="131.7109375" style="52" customWidth="1"/>
    <col min="13828" max="13829" width="12.140625" style="52" customWidth="1"/>
    <col min="13830" max="13830" width="8.00390625" style="52" customWidth="1"/>
    <col min="13831" max="13831" width="12.7109375" style="52" customWidth="1"/>
    <col min="13832" max="13832" width="12.00390625" style="52" customWidth="1"/>
    <col min="13833" max="13835" width="14.28125" style="52" customWidth="1"/>
    <col min="13836" max="13836" width="14.7109375" style="52" customWidth="1"/>
    <col min="13837" max="13848" width="11.57421875" style="52" customWidth="1"/>
    <col min="13849" max="13886" width="11.57421875" style="52" hidden="1" customWidth="1"/>
    <col min="13887" max="14080" width="11.57421875" style="52" customWidth="1"/>
    <col min="14081" max="14081" width="3.7109375" style="52" customWidth="1"/>
    <col min="14082" max="14082" width="14.28125" style="52" customWidth="1"/>
    <col min="14083" max="14083" width="131.7109375" style="52" customWidth="1"/>
    <col min="14084" max="14085" width="12.140625" style="52" customWidth="1"/>
    <col min="14086" max="14086" width="8.00390625" style="52" customWidth="1"/>
    <col min="14087" max="14087" width="12.7109375" style="52" customWidth="1"/>
    <col min="14088" max="14088" width="12.00390625" style="52" customWidth="1"/>
    <col min="14089" max="14091" width="14.28125" style="52" customWidth="1"/>
    <col min="14092" max="14092" width="14.7109375" style="52" customWidth="1"/>
    <col min="14093" max="14104" width="11.57421875" style="52" customWidth="1"/>
    <col min="14105" max="14142" width="11.57421875" style="52" hidden="1" customWidth="1"/>
    <col min="14143" max="14336" width="11.57421875" style="52" customWidth="1"/>
    <col min="14337" max="14337" width="3.7109375" style="52" customWidth="1"/>
    <col min="14338" max="14338" width="14.28125" style="52" customWidth="1"/>
    <col min="14339" max="14339" width="131.7109375" style="52" customWidth="1"/>
    <col min="14340" max="14341" width="12.140625" style="52" customWidth="1"/>
    <col min="14342" max="14342" width="8.00390625" style="52" customWidth="1"/>
    <col min="14343" max="14343" width="12.7109375" style="52" customWidth="1"/>
    <col min="14344" max="14344" width="12.00390625" style="52" customWidth="1"/>
    <col min="14345" max="14347" width="14.28125" style="52" customWidth="1"/>
    <col min="14348" max="14348" width="14.7109375" style="52" customWidth="1"/>
    <col min="14349" max="14360" width="11.57421875" style="52" customWidth="1"/>
    <col min="14361" max="14398" width="11.57421875" style="52" hidden="1" customWidth="1"/>
    <col min="14399" max="14592" width="11.57421875" style="52" customWidth="1"/>
    <col min="14593" max="14593" width="3.7109375" style="52" customWidth="1"/>
    <col min="14594" max="14594" width="14.28125" style="52" customWidth="1"/>
    <col min="14595" max="14595" width="131.7109375" style="52" customWidth="1"/>
    <col min="14596" max="14597" width="12.140625" style="52" customWidth="1"/>
    <col min="14598" max="14598" width="8.00390625" style="52" customWidth="1"/>
    <col min="14599" max="14599" width="12.7109375" style="52" customWidth="1"/>
    <col min="14600" max="14600" width="12.00390625" style="52" customWidth="1"/>
    <col min="14601" max="14603" width="14.28125" style="52" customWidth="1"/>
    <col min="14604" max="14604" width="14.7109375" style="52" customWidth="1"/>
    <col min="14605" max="14616" width="11.57421875" style="52" customWidth="1"/>
    <col min="14617" max="14654" width="11.57421875" style="52" hidden="1" customWidth="1"/>
    <col min="14655" max="14848" width="11.57421875" style="52" customWidth="1"/>
    <col min="14849" max="14849" width="3.7109375" style="52" customWidth="1"/>
    <col min="14850" max="14850" width="14.28125" style="52" customWidth="1"/>
    <col min="14851" max="14851" width="131.7109375" style="52" customWidth="1"/>
    <col min="14852" max="14853" width="12.140625" style="52" customWidth="1"/>
    <col min="14854" max="14854" width="8.00390625" style="52" customWidth="1"/>
    <col min="14855" max="14855" width="12.7109375" style="52" customWidth="1"/>
    <col min="14856" max="14856" width="12.00390625" style="52" customWidth="1"/>
    <col min="14857" max="14859" width="14.28125" style="52" customWidth="1"/>
    <col min="14860" max="14860" width="14.7109375" style="52" customWidth="1"/>
    <col min="14861" max="14872" width="11.57421875" style="52" customWidth="1"/>
    <col min="14873" max="14910" width="11.57421875" style="52" hidden="1" customWidth="1"/>
    <col min="14911" max="15104" width="11.57421875" style="52" customWidth="1"/>
    <col min="15105" max="15105" width="3.7109375" style="52" customWidth="1"/>
    <col min="15106" max="15106" width="14.28125" style="52" customWidth="1"/>
    <col min="15107" max="15107" width="131.7109375" style="52" customWidth="1"/>
    <col min="15108" max="15109" width="12.140625" style="52" customWidth="1"/>
    <col min="15110" max="15110" width="8.00390625" style="52" customWidth="1"/>
    <col min="15111" max="15111" width="12.7109375" style="52" customWidth="1"/>
    <col min="15112" max="15112" width="12.00390625" style="52" customWidth="1"/>
    <col min="15113" max="15115" width="14.28125" style="52" customWidth="1"/>
    <col min="15116" max="15116" width="14.7109375" style="52" customWidth="1"/>
    <col min="15117" max="15128" width="11.57421875" style="52" customWidth="1"/>
    <col min="15129" max="15166" width="11.57421875" style="52" hidden="1" customWidth="1"/>
    <col min="15167" max="15360" width="11.57421875" style="52" customWidth="1"/>
    <col min="15361" max="15361" width="3.7109375" style="52" customWidth="1"/>
    <col min="15362" max="15362" width="14.28125" style="52" customWidth="1"/>
    <col min="15363" max="15363" width="131.7109375" style="52" customWidth="1"/>
    <col min="15364" max="15365" width="12.140625" style="52" customWidth="1"/>
    <col min="15366" max="15366" width="8.00390625" style="52" customWidth="1"/>
    <col min="15367" max="15367" width="12.7109375" style="52" customWidth="1"/>
    <col min="15368" max="15368" width="12.00390625" style="52" customWidth="1"/>
    <col min="15369" max="15371" width="14.28125" style="52" customWidth="1"/>
    <col min="15372" max="15372" width="14.7109375" style="52" customWidth="1"/>
    <col min="15373" max="15384" width="11.57421875" style="52" customWidth="1"/>
    <col min="15385" max="15422" width="11.57421875" style="52" hidden="1" customWidth="1"/>
    <col min="15423" max="15616" width="11.57421875" style="52" customWidth="1"/>
    <col min="15617" max="15617" width="3.7109375" style="52" customWidth="1"/>
    <col min="15618" max="15618" width="14.28125" style="52" customWidth="1"/>
    <col min="15619" max="15619" width="131.7109375" style="52" customWidth="1"/>
    <col min="15620" max="15621" width="12.140625" style="52" customWidth="1"/>
    <col min="15622" max="15622" width="8.00390625" style="52" customWidth="1"/>
    <col min="15623" max="15623" width="12.7109375" style="52" customWidth="1"/>
    <col min="15624" max="15624" width="12.00390625" style="52" customWidth="1"/>
    <col min="15625" max="15627" width="14.28125" style="52" customWidth="1"/>
    <col min="15628" max="15628" width="14.7109375" style="52" customWidth="1"/>
    <col min="15629" max="15640" width="11.57421875" style="52" customWidth="1"/>
    <col min="15641" max="15678" width="11.57421875" style="52" hidden="1" customWidth="1"/>
    <col min="15679" max="15872" width="11.57421875" style="52" customWidth="1"/>
    <col min="15873" max="15873" width="3.7109375" style="52" customWidth="1"/>
    <col min="15874" max="15874" width="14.28125" style="52" customWidth="1"/>
    <col min="15875" max="15875" width="131.7109375" style="52" customWidth="1"/>
    <col min="15876" max="15877" width="12.140625" style="52" customWidth="1"/>
    <col min="15878" max="15878" width="8.00390625" style="52" customWidth="1"/>
    <col min="15879" max="15879" width="12.7109375" style="52" customWidth="1"/>
    <col min="15880" max="15880" width="12.00390625" style="52" customWidth="1"/>
    <col min="15881" max="15883" width="14.28125" style="52" customWidth="1"/>
    <col min="15884" max="15884" width="14.7109375" style="52" customWidth="1"/>
    <col min="15885" max="15896" width="11.57421875" style="52" customWidth="1"/>
    <col min="15897" max="15934" width="11.57421875" style="52" hidden="1" customWidth="1"/>
    <col min="15935" max="16128" width="11.57421875" style="52" customWidth="1"/>
    <col min="16129" max="16129" width="3.7109375" style="52" customWidth="1"/>
    <col min="16130" max="16130" width="14.28125" style="52" customWidth="1"/>
    <col min="16131" max="16131" width="131.7109375" style="52" customWidth="1"/>
    <col min="16132" max="16133" width="12.140625" style="52" customWidth="1"/>
    <col min="16134" max="16134" width="8.00390625" style="52" customWidth="1"/>
    <col min="16135" max="16135" width="12.7109375" style="52" customWidth="1"/>
    <col min="16136" max="16136" width="12.00390625" style="52" customWidth="1"/>
    <col min="16137" max="16139" width="14.28125" style="52" customWidth="1"/>
    <col min="16140" max="16140" width="14.7109375" style="52" customWidth="1"/>
    <col min="16141" max="16152" width="11.57421875" style="52" customWidth="1"/>
    <col min="16153" max="16190" width="11.57421875" style="52" hidden="1" customWidth="1"/>
    <col min="16191" max="16384" width="11.57421875" style="52" customWidth="1"/>
  </cols>
  <sheetData>
    <row r="1" spans="1:12" ht="73.05" customHeight="1">
      <c r="A1" s="698" t="s">
        <v>68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</row>
    <row r="2" spans="1:13" ht="15">
      <c r="A2" s="700" t="s">
        <v>13</v>
      </c>
      <c r="B2" s="701"/>
      <c r="C2" s="702" t="s">
        <v>936</v>
      </c>
      <c r="D2" s="704" t="s">
        <v>69</v>
      </c>
      <c r="E2" s="701"/>
      <c r="F2" s="704" t="s">
        <v>70</v>
      </c>
      <c r="G2" s="701"/>
      <c r="H2" s="705" t="s">
        <v>15</v>
      </c>
      <c r="I2" s="705" t="s">
        <v>71</v>
      </c>
      <c r="J2" s="701"/>
      <c r="K2" s="701"/>
      <c r="L2" s="706"/>
      <c r="M2" s="53"/>
    </row>
    <row r="3" spans="1:13" ht="15">
      <c r="A3" s="694"/>
      <c r="B3" s="693"/>
      <c r="C3" s="703"/>
      <c r="D3" s="693"/>
      <c r="E3" s="693"/>
      <c r="F3" s="693"/>
      <c r="G3" s="693"/>
      <c r="H3" s="693"/>
      <c r="I3" s="693"/>
      <c r="J3" s="693"/>
      <c r="K3" s="693"/>
      <c r="L3" s="697"/>
      <c r="M3" s="53"/>
    </row>
    <row r="4" spans="1:13" ht="15">
      <c r="A4" s="692" t="s">
        <v>26</v>
      </c>
      <c r="B4" s="693"/>
      <c r="C4" s="695" t="s">
        <v>935</v>
      </c>
      <c r="D4" s="696" t="s">
        <v>30</v>
      </c>
      <c r="E4" s="693"/>
      <c r="F4" s="696" t="s">
        <v>70</v>
      </c>
      <c r="G4" s="693"/>
      <c r="H4" s="695" t="s">
        <v>27</v>
      </c>
      <c r="I4" s="695" t="s">
        <v>72</v>
      </c>
      <c r="J4" s="693"/>
      <c r="K4" s="693"/>
      <c r="L4" s="697"/>
      <c r="M4" s="53"/>
    </row>
    <row r="5" spans="1:13" ht="15">
      <c r="A5" s="694"/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7"/>
      <c r="M5" s="53"/>
    </row>
    <row r="6" spans="1:13" ht="15">
      <c r="A6" s="692" t="s">
        <v>16</v>
      </c>
      <c r="B6" s="693"/>
      <c r="C6" s="695" t="s">
        <v>17</v>
      </c>
      <c r="D6" s="696" t="s">
        <v>31</v>
      </c>
      <c r="E6" s="693"/>
      <c r="F6" s="696" t="s">
        <v>70</v>
      </c>
      <c r="G6" s="693"/>
      <c r="H6" s="695" t="s">
        <v>29</v>
      </c>
      <c r="I6" s="696" t="s">
        <v>73</v>
      </c>
      <c r="J6" s="693"/>
      <c r="K6" s="693"/>
      <c r="L6" s="697"/>
      <c r="M6" s="53"/>
    </row>
    <row r="7" spans="1:13" ht="15">
      <c r="A7" s="694"/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7"/>
      <c r="M7" s="53"/>
    </row>
    <row r="8" spans="1:13" ht="15">
      <c r="A8" s="692" t="s">
        <v>34</v>
      </c>
      <c r="B8" s="693"/>
      <c r="C8" s="695" t="s">
        <v>70</v>
      </c>
      <c r="D8" s="696" t="s">
        <v>74</v>
      </c>
      <c r="E8" s="693"/>
      <c r="F8" s="696" t="s">
        <v>75</v>
      </c>
      <c r="G8" s="693"/>
      <c r="H8" s="695" t="s">
        <v>35</v>
      </c>
      <c r="I8" s="695" t="s">
        <v>937</v>
      </c>
      <c r="J8" s="693"/>
      <c r="K8" s="693"/>
      <c r="L8" s="697"/>
      <c r="M8" s="53"/>
    </row>
    <row r="9" spans="1:13" ht="13.8" thickBo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9"/>
      <c r="M9" s="53"/>
    </row>
    <row r="10" spans="1:13" ht="15">
      <c r="A10" s="54" t="s">
        <v>77</v>
      </c>
      <c r="B10" s="55" t="s">
        <v>78</v>
      </c>
      <c r="C10" s="714" t="s">
        <v>79</v>
      </c>
      <c r="D10" s="715"/>
      <c r="E10" s="716"/>
      <c r="F10" s="55" t="s">
        <v>80</v>
      </c>
      <c r="G10" s="56" t="s">
        <v>81</v>
      </c>
      <c r="H10" s="57" t="s">
        <v>82</v>
      </c>
      <c r="I10" s="717" t="s">
        <v>83</v>
      </c>
      <c r="J10" s="718"/>
      <c r="K10" s="719"/>
      <c r="L10" s="58" t="s">
        <v>84</v>
      </c>
      <c r="M10" s="59"/>
    </row>
    <row r="11" spans="1:62" ht="13.8" thickBot="1">
      <c r="A11" s="60" t="s">
        <v>70</v>
      </c>
      <c r="B11" s="61" t="s">
        <v>70</v>
      </c>
      <c r="C11" s="720" t="s">
        <v>85</v>
      </c>
      <c r="D11" s="721"/>
      <c r="E11" s="722"/>
      <c r="F11" s="61" t="s">
        <v>70</v>
      </c>
      <c r="G11" s="61" t="s">
        <v>70</v>
      </c>
      <c r="H11" s="62" t="s">
        <v>86</v>
      </c>
      <c r="I11" s="63" t="s">
        <v>87</v>
      </c>
      <c r="J11" s="64" t="s">
        <v>47</v>
      </c>
      <c r="K11" s="65" t="s">
        <v>88</v>
      </c>
      <c r="L11" s="66" t="s">
        <v>89</v>
      </c>
      <c r="M11" s="59"/>
      <c r="Z11" s="67" t="s">
        <v>90</v>
      </c>
      <c r="AA11" s="67" t="s">
        <v>91</v>
      </c>
      <c r="AB11" s="67" t="s">
        <v>92</v>
      </c>
      <c r="AC11" s="67" t="s">
        <v>93</v>
      </c>
      <c r="AD11" s="67" t="s">
        <v>94</v>
      </c>
      <c r="AE11" s="67" t="s">
        <v>95</v>
      </c>
      <c r="AF11" s="67" t="s">
        <v>96</v>
      </c>
      <c r="AG11" s="67" t="s">
        <v>97</v>
      </c>
      <c r="AH11" s="67" t="s">
        <v>98</v>
      </c>
      <c r="BH11" s="67" t="s">
        <v>99</v>
      </c>
      <c r="BI11" s="67" t="s">
        <v>100</v>
      </c>
      <c r="BJ11" s="67" t="s">
        <v>101</v>
      </c>
    </row>
    <row r="12" spans="1:12" ht="15">
      <c r="A12" s="44"/>
      <c r="B12" s="592"/>
      <c r="C12" s="723" t="s">
        <v>938</v>
      </c>
      <c r="D12" s="724"/>
      <c r="E12" s="724"/>
      <c r="F12" s="44" t="s">
        <v>70</v>
      </c>
      <c r="G12" s="44" t="s">
        <v>70</v>
      </c>
      <c r="H12" s="44" t="s">
        <v>70</v>
      </c>
      <c r="I12" s="46">
        <f>I13+I15+I17+I19+I22+I27</f>
        <v>0</v>
      </c>
      <c r="J12" s="46">
        <f>J13+J15+J17+J19+J22+J27</f>
        <v>0</v>
      </c>
      <c r="K12" s="46">
        <f>K13+K15+K17+K19+K22+K27</f>
        <v>0</v>
      </c>
      <c r="L12" s="47"/>
    </row>
    <row r="13" spans="1:47" ht="15">
      <c r="A13" s="88"/>
      <c r="B13" s="591" t="s">
        <v>103</v>
      </c>
      <c r="C13" s="710" t="s">
        <v>104</v>
      </c>
      <c r="D13" s="711"/>
      <c r="E13" s="711"/>
      <c r="F13" s="88" t="s">
        <v>70</v>
      </c>
      <c r="G13" s="88" t="s">
        <v>70</v>
      </c>
      <c r="H13" s="624" t="s">
        <v>70</v>
      </c>
      <c r="I13" s="90">
        <f>SUM(I14:I14)</f>
        <v>0</v>
      </c>
      <c r="J13" s="90">
        <f>SUM(J14:J14)</f>
        <v>0</v>
      </c>
      <c r="K13" s="90">
        <f>SUM(K14:K14)</f>
        <v>0</v>
      </c>
      <c r="L13" s="91"/>
      <c r="AI13" s="67" t="s">
        <v>939</v>
      </c>
      <c r="AS13" s="68">
        <f>SUM(AJ14:AJ14)</f>
        <v>0</v>
      </c>
      <c r="AT13" s="68">
        <f>SUM(AK14:AK14)</f>
        <v>0</v>
      </c>
      <c r="AU13" s="68">
        <f>SUM(AL14:AL14)</f>
        <v>0</v>
      </c>
    </row>
    <row r="14" spans="1:62" ht="15">
      <c r="A14" s="589" t="s">
        <v>106</v>
      </c>
      <c r="B14" s="589" t="s">
        <v>940</v>
      </c>
      <c r="C14" s="696" t="s">
        <v>941</v>
      </c>
      <c r="D14" s="693"/>
      <c r="E14" s="693"/>
      <c r="F14" s="589" t="s">
        <v>109</v>
      </c>
      <c r="G14" s="70">
        <v>210</v>
      </c>
      <c r="H14" s="580">
        <v>0</v>
      </c>
      <c r="I14" s="70">
        <f>G14*AO14</f>
        <v>0</v>
      </c>
      <c r="J14" s="70">
        <f>G14*AP14</f>
        <v>0</v>
      </c>
      <c r="K14" s="70">
        <f>G14*H14</f>
        <v>0</v>
      </c>
      <c r="L14" s="71" t="s">
        <v>120</v>
      </c>
      <c r="Z14" s="70">
        <f>IF(AQ14="5",BJ14,0)</f>
        <v>0</v>
      </c>
      <c r="AB14" s="70">
        <f>IF(AQ14="1",BH14,0)</f>
        <v>0</v>
      </c>
      <c r="AC14" s="70">
        <f>IF(AQ14="1",BI14,0)</f>
        <v>0</v>
      </c>
      <c r="AD14" s="70">
        <f>IF(AQ14="7",BH14,0)</f>
        <v>0</v>
      </c>
      <c r="AE14" s="70">
        <f>IF(AQ14="7",BI14,0)</f>
        <v>0</v>
      </c>
      <c r="AF14" s="70">
        <f>IF(AQ14="2",BH14,0)</f>
        <v>0</v>
      </c>
      <c r="AG14" s="70">
        <f>IF(AQ14="2",BI14,0)</f>
        <v>0</v>
      </c>
      <c r="AH14" s="70">
        <f>IF(AQ14="0",BJ14,0)</f>
        <v>0</v>
      </c>
      <c r="AI14" s="67" t="s">
        <v>939</v>
      </c>
      <c r="AJ14" s="70">
        <f>IF(AN14=0,K14,0)</f>
        <v>0</v>
      </c>
      <c r="AK14" s="70">
        <f>IF(AN14=15,K14,0)</f>
        <v>0</v>
      </c>
      <c r="AL14" s="70">
        <f>IF(AN14=21,K14,0)</f>
        <v>0</v>
      </c>
      <c r="AN14" s="70">
        <v>21</v>
      </c>
      <c r="AO14" s="70">
        <f>H14*0</f>
        <v>0</v>
      </c>
      <c r="AP14" s="70">
        <f>H14*(1-0)</f>
        <v>0</v>
      </c>
      <c r="AQ14" s="71" t="s">
        <v>106</v>
      </c>
      <c r="AV14" s="70">
        <f>AW14+AX14</f>
        <v>0</v>
      </c>
      <c r="AW14" s="70">
        <f>G14*AO14</f>
        <v>0</v>
      </c>
      <c r="AX14" s="70">
        <f>G14*AP14</f>
        <v>0</v>
      </c>
      <c r="AY14" s="71" t="s">
        <v>111</v>
      </c>
      <c r="AZ14" s="71" t="s">
        <v>942</v>
      </c>
      <c r="BA14" s="67" t="s">
        <v>943</v>
      </c>
      <c r="BC14" s="70">
        <f>AW14+AX14</f>
        <v>0</v>
      </c>
      <c r="BD14" s="70">
        <f>H14/(100-BE14)*100</f>
        <v>0</v>
      </c>
      <c r="BE14" s="70">
        <v>0</v>
      </c>
      <c r="BF14" s="70">
        <f>14</f>
        <v>14</v>
      </c>
      <c r="BH14" s="70">
        <f>G14*AO14</f>
        <v>0</v>
      </c>
      <c r="BI14" s="70">
        <f>G14*AP14</f>
        <v>0</v>
      </c>
      <c r="BJ14" s="70">
        <f>G14*H14</f>
        <v>0</v>
      </c>
    </row>
    <row r="15" spans="1:47" ht="15">
      <c r="A15" s="88"/>
      <c r="B15" s="591" t="s">
        <v>944</v>
      </c>
      <c r="C15" s="710" t="s">
        <v>945</v>
      </c>
      <c r="D15" s="711"/>
      <c r="E15" s="711"/>
      <c r="F15" s="88" t="s">
        <v>70</v>
      </c>
      <c r="G15" s="88" t="s">
        <v>70</v>
      </c>
      <c r="H15" s="624" t="s">
        <v>70</v>
      </c>
      <c r="I15" s="90">
        <f>SUM(I16:I16)</f>
        <v>0</v>
      </c>
      <c r="J15" s="90">
        <f>SUM(J16:J16)</f>
        <v>0</v>
      </c>
      <c r="K15" s="90">
        <f>SUM(K16:K16)</f>
        <v>0</v>
      </c>
      <c r="L15" s="91"/>
      <c r="AI15" s="67" t="s">
        <v>939</v>
      </c>
      <c r="AS15" s="68">
        <f>SUM(AJ16:AJ16)</f>
        <v>0</v>
      </c>
      <c r="AT15" s="68">
        <f>SUM(AK16:AK16)</f>
        <v>0</v>
      </c>
      <c r="AU15" s="68">
        <f>SUM(AL16:AL16)</f>
        <v>0</v>
      </c>
    </row>
    <row r="16" spans="1:62" ht="15">
      <c r="A16" s="589" t="s">
        <v>114</v>
      </c>
      <c r="B16" s="589" t="s">
        <v>946</v>
      </c>
      <c r="C16" s="696" t="s">
        <v>947</v>
      </c>
      <c r="D16" s="693"/>
      <c r="E16" s="693"/>
      <c r="F16" s="589" t="s">
        <v>674</v>
      </c>
      <c r="G16" s="70">
        <v>4</v>
      </c>
      <c r="H16" s="580">
        <v>0</v>
      </c>
      <c r="I16" s="70">
        <f>G16*AO16</f>
        <v>0</v>
      </c>
      <c r="J16" s="70">
        <f>G16*AP16</f>
        <v>0</v>
      </c>
      <c r="K16" s="70">
        <f>G16*H16</f>
        <v>0</v>
      </c>
      <c r="L16" s="71" t="s">
        <v>120</v>
      </c>
      <c r="Z16" s="70">
        <f>IF(AQ16="5",BJ16,0)</f>
        <v>0</v>
      </c>
      <c r="AB16" s="70">
        <f>IF(AQ16="1",BH16,0)</f>
        <v>0</v>
      </c>
      <c r="AC16" s="70">
        <f>IF(AQ16="1",BI16,0)</f>
        <v>0</v>
      </c>
      <c r="AD16" s="70">
        <f>IF(AQ16="7",BH16,0)</f>
        <v>0</v>
      </c>
      <c r="AE16" s="70">
        <f>IF(AQ16="7",BI16,0)</f>
        <v>0</v>
      </c>
      <c r="AF16" s="70">
        <f>IF(AQ16="2",BH16,0)</f>
        <v>0</v>
      </c>
      <c r="AG16" s="70">
        <f>IF(AQ16="2",BI16,0)</f>
        <v>0</v>
      </c>
      <c r="AH16" s="70">
        <f>IF(AQ16="0",BJ16,0)</f>
        <v>0</v>
      </c>
      <c r="AI16" s="67" t="s">
        <v>939</v>
      </c>
      <c r="AJ16" s="70">
        <f>IF(AN16=0,K16,0)</f>
        <v>0</v>
      </c>
      <c r="AK16" s="70">
        <f>IF(AN16=15,K16,0)</f>
        <v>0</v>
      </c>
      <c r="AL16" s="70">
        <f>IF(AN16=21,K16,0)</f>
        <v>0</v>
      </c>
      <c r="AN16" s="70">
        <v>21</v>
      </c>
      <c r="AO16" s="70">
        <f>H16*0</f>
        <v>0</v>
      </c>
      <c r="AP16" s="70">
        <f>H16*(1-0)</f>
        <v>0</v>
      </c>
      <c r="AQ16" s="71" t="s">
        <v>106</v>
      </c>
      <c r="AV16" s="70">
        <f>AW16+AX16</f>
        <v>0</v>
      </c>
      <c r="AW16" s="70">
        <f>G16*AO16</f>
        <v>0</v>
      </c>
      <c r="AX16" s="70">
        <f>G16*AP16</f>
        <v>0</v>
      </c>
      <c r="AY16" s="71" t="s">
        <v>948</v>
      </c>
      <c r="AZ16" s="71" t="s">
        <v>942</v>
      </c>
      <c r="BA16" s="67" t="s">
        <v>943</v>
      </c>
      <c r="BC16" s="70">
        <f>AW16+AX16</f>
        <v>0</v>
      </c>
      <c r="BD16" s="70">
        <f>H16/(100-BE16)*100</f>
        <v>0</v>
      </c>
      <c r="BE16" s="70">
        <v>0</v>
      </c>
      <c r="BF16" s="70">
        <f>16</f>
        <v>16</v>
      </c>
      <c r="BH16" s="70">
        <f>G16*AO16</f>
        <v>0</v>
      </c>
      <c r="BI16" s="70">
        <f>G16*AP16</f>
        <v>0</v>
      </c>
      <c r="BJ16" s="70">
        <f>G16*H16</f>
        <v>0</v>
      </c>
    </row>
    <row r="17" spans="1:47" ht="15">
      <c r="A17" s="88"/>
      <c r="B17" s="591" t="s">
        <v>169</v>
      </c>
      <c r="C17" s="710" t="s">
        <v>278</v>
      </c>
      <c r="D17" s="711"/>
      <c r="E17" s="711"/>
      <c r="F17" s="88" t="s">
        <v>70</v>
      </c>
      <c r="G17" s="88" t="s">
        <v>70</v>
      </c>
      <c r="H17" s="624" t="s">
        <v>70</v>
      </c>
      <c r="I17" s="90">
        <f>SUM(I18:I18)</f>
        <v>0</v>
      </c>
      <c r="J17" s="90">
        <f>SUM(J18:J18)</f>
        <v>0</v>
      </c>
      <c r="K17" s="90">
        <f>SUM(K18:K18)</f>
        <v>0</v>
      </c>
      <c r="L17" s="91"/>
      <c r="AI17" s="67" t="s">
        <v>939</v>
      </c>
      <c r="AS17" s="68">
        <f>SUM(AJ18:AJ18)</f>
        <v>0</v>
      </c>
      <c r="AT17" s="68">
        <f>SUM(AK18:AK18)</f>
        <v>0</v>
      </c>
      <c r="AU17" s="68">
        <f>SUM(AL18:AL18)</f>
        <v>0</v>
      </c>
    </row>
    <row r="18" spans="1:62" ht="15">
      <c r="A18" s="589" t="s">
        <v>117</v>
      </c>
      <c r="B18" s="589" t="s">
        <v>949</v>
      </c>
      <c r="C18" s="696" t="s">
        <v>950</v>
      </c>
      <c r="D18" s="693"/>
      <c r="E18" s="693"/>
      <c r="F18" s="589" t="s">
        <v>109</v>
      </c>
      <c r="G18" s="70">
        <v>210</v>
      </c>
      <c r="H18" s="580">
        <v>0</v>
      </c>
      <c r="I18" s="70">
        <f>G18*AO18</f>
        <v>0</v>
      </c>
      <c r="J18" s="70">
        <f>G18*AP18</f>
        <v>0</v>
      </c>
      <c r="K18" s="70">
        <f>G18*H18</f>
        <v>0</v>
      </c>
      <c r="L18" s="71" t="s">
        <v>120</v>
      </c>
      <c r="Z18" s="70">
        <f>IF(AQ18="5",BJ18,0)</f>
        <v>0</v>
      </c>
      <c r="AB18" s="70">
        <f>IF(AQ18="1",BH18,0)</f>
        <v>0</v>
      </c>
      <c r="AC18" s="70">
        <f>IF(AQ18="1",BI18,0)</f>
        <v>0</v>
      </c>
      <c r="AD18" s="70">
        <f>IF(AQ18="7",BH18,0)</f>
        <v>0</v>
      </c>
      <c r="AE18" s="70">
        <f>IF(AQ18="7",BI18,0)</f>
        <v>0</v>
      </c>
      <c r="AF18" s="70">
        <f>IF(AQ18="2",BH18,0)</f>
        <v>0</v>
      </c>
      <c r="AG18" s="70">
        <f>IF(AQ18="2",BI18,0)</f>
        <v>0</v>
      </c>
      <c r="AH18" s="70">
        <f>IF(AQ18="0",BJ18,0)</f>
        <v>0</v>
      </c>
      <c r="AI18" s="67" t="s">
        <v>939</v>
      </c>
      <c r="AJ18" s="70">
        <f>IF(AN18=0,K18,0)</f>
        <v>0</v>
      </c>
      <c r="AK18" s="70">
        <f>IF(AN18=15,K18,0)</f>
        <v>0</v>
      </c>
      <c r="AL18" s="70">
        <f>IF(AN18=21,K18,0)</f>
        <v>0</v>
      </c>
      <c r="AN18" s="70">
        <v>21</v>
      </c>
      <c r="AO18" s="70">
        <f>H18*0</f>
        <v>0</v>
      </c>
      <c r="AP18" s="70">
        <f>H18*(1-0)</f>
        <v>0</v>
      </c>
      <c r="AQ18" s="71" t="s">
        <v>106</v>
      </c>
      <c r="AV18" s="70">
        <f>AW18+AX18</f>
        <v>0</v>
      </c>
      <c r="AW18" s="70">
        <f>G18*AO18</f>
        <v>0</v>
      </c>
      <c r="AX18" s="70">
        <f>G18*AP18</f>
        <v>0</v>
      </c>
      <c r="AY18" s="71" t="s">
        <v>283</v>
      </c>
      <c r="AZ18" s="71" t="s">
        <v>942</v>
      </c>
      <c r="BA18" s="67" t="s">
        <v>943</v>
      </c>
      <c r="BC18" s="70">
        <f>AW18+AX18</f>
        <v>0</v>
      </c>
      <c r="BD18" s="70">
        <f>H18/(100-BE18)*100</f>
        <v>0</v>
      </c>
      <c r="BE18" s="70">
        <v>0</v>
      </c>
      <c r="BF18" s="70">
        <f>18</f>
        <v>18</v>
      </c>
      <c r="BH18" s="70">
        <f>G18*AO18</f>
        <v>0</v>
      </c>
      <c r="BI18" s="70">
        <f>G18*AP18</f>
        <v>0</v>
      </c>
      <c r="BJ18" s="70">
        <f>G18*H18</f>
        <v>0</v>
      </c>
    </row>
    <row r="19" spans="1:47" ht="15">
      <c r="A19" s="88"/>
      <c r="B19" s="591" t="s">
        <v>172</v>
      </c>
      <c r="C19" s="710" t="s">
        <v>951</v>
      </c>
      <c r="D19" s="711"/>
      <c r="E19" s="711"/>
      <c r="F19" s="88" t="s">
        <v>70</v>
      </c>
      <c r="G19" s="88" t="s">
        <v>70</v>
      </c>
      <c r="H19" s="624" t="s">
        <v>70</v>
      </c>
      <c r="I19" s="90">
        <f>SUM(I20:I20)</f>
        <v>0</v>
      </c>
      <c r="J19" s="90">
        <f>SUM(J20:J20)</f>
        <v>0</v>
      </c>
      <c r="K19" s="90">
        <f>SUM(K20:K20)</f>
        <v>0</v>
      </c>
      <c r="L19" s="91"/>
      <c r="AI19" s="67" t="s">
        <v>939</v>
      </c>
      <c r="AS19" s="68">
        <f>SUM(AJ20:AJ20)</f>
        <v>0</v>
      </c>
      <c r="AT19" s="68">
        <f>SUM(AK20:AK20)</f>
        <v>0</v>
      </c>
      <c r="AU19" s="68">
        <f>SUM(AL20:AL20)</f>
        <v>0</v>
      </c>
    </row>
    <row r="20" spans="1:62" ht="15">
      <c r="A20" s="589" t="s">
        <v>121</v>
      </c>
      <c r="B20" s="589" t="s">
        <v>952</v>
      </c>
      <c r="C20" s="696" t="s">
        <v>953</v>
      </c>
      <c r="D20" s="693"/>
      <c r="E20" s="693"/>
      <c r="F20" s="589" t="s">
        <v>674</v>
      </c>
      <c r="G20" s="70">
        <v>698</v>
      </c>
      <c r="H20" s="580">
        <v>0</v>
      </c>
      <c r="I20" s="70">
        <f>G20*AO20</f>
        <v>0</v>
      </c>
      <c r="J20" s="70">
        <f>G20*AP20</f>
        <v>0</v>
      </c>
      <c r="K20" s="70">
        <f>G20*H20</f>
        <v>0</v>
      </c>
      <c r="L20" s="71" t="s">
        <v>120</v>
      </c>
      <c r="Z20" s="70">
        <f>IF(AQ20="5",BJ20,0)</f>
        <v>0</v>
      </c>
      <c r="AB20" s="70">
        <f>IF(AQ20="1",BH20,0)</f>
        <v>0</v>
      </c>
      <c r="AC20" s="70">
        <f>IF(AQ20="1",BI20,0)</f>
        <v>0</v>
      </c>
      <c r="AD20" s="70">
        <f>IF(AQ20="7",BH20,0)</f>
        <v>0</v>
      </c>
      <c r="AE20" s="70">
        <f>IF(AQ20="7",BI20,0)</f>
        <v>0</v>
      </c>
      <c r="AF20" s="70">
        <f>IF(AQ20="2",BH20,0)</f>
        <v>0</v>
      </c>
      <c r="AG20" s="70">
        <f>IF(AQ20="2",BI20,0)</f>
        <v>0</v>
      </c>
      <c r="AH20" s="70">
        <f>IF(AQ20="0",BJ20,0)</f>
        <v>0</v>
      </c>
      <c r="AI20" s="67" t="s">
        <v>939</v>
      </c>
      <c r="AJ20" s="70">
        <f>IF(AN20=0,K20,0)</f>
        <v>0</v>
      </c>
      <c r="AK20" s="70">
        <f>IF(AN20=15,K20,0)</f>
        <v>0</v>
      </c>
      <c r="AL20" s="70">
        <f>IF(AN20=21,K20,0)</f>
        <v>0</v>
      </c>
      <c r="AN20" s="70">
        <v>21</v>
      </c>
      <c r="AO20" s="70">
        <f>H20*0</f>
        <v>0</v>
      </c>
      <c r="AP20" s="70">
        <f>H20*(1-0)</f>
        <v>0</v>
      </c>
      <c r="AQ20" s="71" t="s">
        <v>106</v>
      </c>
      <c r="AV20" s="70">
        <f>AW20+AX20</f>
        <v>0</v>
      </c>
      <c r="AW20" s="70">
        <f>G20*AO20</f>
        <v>0</v>
      </c>
      <c r="AX20" s="70">
        <f>G20*AP20</f>
        <v>0</v>
      </c>
      <c r="AY20" s="71" t="s">
        <v>417</v>
      </c>
      <c r="AZ20" s="71" t="s">
        <v>942</v>
      </c>
      <c r="BA20" s="67" t="s">
        <v>943</v>
      </c>
      <c r="BC20" s="70">
        <f>AW20+AX20</f>
        <v>0</v>
      </c>
      <c r="BD20" s="70">
        <f>H20/(100-BE20)*100</f>
        <v>0</v>
      </c>
      <c r="BE20" s="70">
        <v>0</v>
      </c>
      <c r="BF20" s="70">
        <f>20</f>
        <v>20</v>
      </c>
      <c r="BH20" s="70">
        <f>G20*AO20</f>
        <v>0</v>
      </c>
      <c r="BI20" s="70">
        <f>G20*AP20</f>
        <v>0</v>
      </c>
      <c r="BJ20" s="70">
        <f>G20*H20</f>
        <v>0</v>
      </c>
    </row>
    <row r="21" spans="2:12" ht="25.35" customHeight="1">
      <c r="B21" s="75" t="s">
        <v>67</v>
      </c>
      <c r="C21" s="725" t="s">
        <v>954</v>
      </c>
      <c r="D21" s="726"/>
      <c r="E21" s="726"/>
      <c r="F21" s="726"/>
      <c r="G21" s="726"/>
      <c r="H21" s="726"/>
      <c r="I21" s="726"/>
      <c r="J21" s="726"/>
      <c r="K21" s="726"/>
      <c r="L21" s="726"/>
    </row>
    <row r="22" spans="1:47" ht="15">
      <c r="A22" s="88"/>
      <c r="B22" s="591" t="s">
        <v>345</v>
      </c>
      <c r="C22" s="710" t="s">
        <v>346</v>
      </c>
      <c r="D22" s="711"/>
      <c r="E22" s="711"/>
      <c r="F22" s="88" t="s">
        <v>70</v>
      </c>
      <c r="G22" s="88" t="s">
        <v>70</v>
      </c>
      <c r="H22" s="624" t="s">
        <v>70</v>
      </c>
      <c r="I22" s="90">
        <f>SUM(I23:I25)</f>
        <v>0</v>
      </c>
      <c r="J22" s="90">
        <f>SUM(J23:J25)</f>
        <v>0</v>
      </c>
      <c r="K22" s="90">
        <f>SUM(K23:K25)</f>
        <v>0</v>
      </c>
      <c r="L22" s="91"/>
      <c r="AI22" s="67" t="s">
        <v>939</v>
      </c>
      <c r="AS22" s="68">
        <f>SUM(AJ23:AJ25)</f>
        <v>0</v>
      </c>
      <c r="AT22" s="68">
        <f>SUM(AK23:AK25)</f>
        <v>0</v>
      </c>
      <c r="AU22" s="68">
        <f>SUM(AL23:AL25)</f>
        <v>0</v>
      </c>
    </row>
    <row r="23" spans="1:62" ht="15">
      <c r="A23" s="589" t="s">
        <v>124</v>
      </c>
      <c r="B23" s="589" t="s">
        <v>955</v>
      </c>
      <c r="C23" s="696" t="s">
        <v>956</v>
      </c>
      <c r="D23" s="693"/>
      <c r="E23" s="693"/>
      <c r="F23" s="589" t="s">
        <v>253</v>
      </c>
      <c r="G23" s="70">
        <v>30.4</v>
      </c>
      <c r="H23" s="580">
        <v>0</v>
      </c>
      <c r="I23" s="70">
        <f>G23*AO23</f>
        <v>0</v>
      </c>
      <c r="J23" s="70">
        <f>G23*AP23</f>
        <v>0</v>
      </c>
      <c r="K23" s="70">
        <f>G23*H23</f>
        <v>0</v>
      </c>
      <c r="L23" s="71" t="s">
        <v>120</v>
      </c>
      <c r="Z23" s="70">
        <f>IF(AQ23="5",BJ23,0)</f>
        <v>0</v>
      </c>
      <c r="AB23" s="70">
        <f>IF(AQ23="1",BH23,0)</f>
        <v>0</v>
      </c>
      <c r="AC23" s="70">
        <f>IF(AQ23="1",BI23,0)</f>
        <v>0</v>
      </c>
      <c r="AD23" s="70">
        <f>IF(AQ23="7",BH23,0)</f>
        <v>0</v>
      </c>
      <c r="AE23" s="70">
        <f>IF(AQ23="7",BI23,0)</f>
        <v>0</v>
      </c>
      <c r="AF23" s="70">
        <f>IF(AQ23="2",BH23,0)</f>
        <v>0</v>
      </c>
      <c r="AG23" s="70">
        <f>IF(AQ23="2",BI23,0)</f>
        <v>0</v>
      </c>
      <c r="AH23" s="70">
        <f>IF(AQ23="0",BJ23,0)</f>
        <v>0</v>
      </c>
      <c r="AI23" s="67" t="s">
        <v>939</v>
      </c>
      <c r="AJ23" s="70">
        <f>IF(AN23=0,K23,0)</f>
        <v>0</v>
      </c>
      <c r="AK23" s="70">
        <f>IF(AN23=15,K23,0)</f>
        <v>0</v>
      </c>
      <c r="AL23" s="70">
        <f>IF(AN23=21,K23,0)</f>
        <v>0</v>
      </c>
      <c r="AN23" s="70">
        <v>21</v>
      </c>
      <c r="AO23" s="70">
        <f>H23*1</f>
        <v>0</v>
      </c>
      <c r="AP23" s="70">
        <f>H23*(1-1)</f>
        <v>0</v>
      </c>
      <c r="AQ23" s="71" t="s">
        <v>106</v>
      </c>
      <c r="AV23" s="70">
        <f>AW23+AX23</f>
        <v>0</v>
      </c>
      <c r="AW23" s="70">
        <f>G23*AO23</f>
        <v>0</v>
      </c>
      <c r="AX23" s="70">
        <f>G23*AP23</f>
        <v>0</v>
      </c>
      <c r="AY23" s="71" t="s">
        <v>350</v>
      </c>
      <c r="AZ23" s="71" t="s">
        <v>957</v>
      </c>
      <c r="BA23" s="67" t="s">
        <v>943</v>
      </c>
      <c r="BC23" s="70">
        <f>AW23+AX23</f>
        <v>0</v>
      </c>
      <c r="BD23" s="70">
        <f>H23/(100-BE23)*100</f>
        <v>0</v>
      </c>
      <c r="BE23" s="70">
        <v>0</v>
      </c>
      <c r="BF23" s="70">
        <f>23</f>
        <v>23</v>
      </c>
      <c r="BH23" s="70">
        <f>G23*AO23</f>
        <v>0</v>
      </c>
      <c r="BI23" s="70">
        <f>G23*AP23</f>
        <v>0</v>
      </c>
      <c r="BJ23" s="70">
        <f>G23*H23</f>
        <v>0</v>
      </c>
    </row>
    <row r="24" spans="2:12" ht="25.35" customHeight="1">
      <c r="B24" s="75" t="s">
        <v>67</v>
      </c>
      <c r="C24" s="725" t="s">
        <v>958</v>
      </c>
      <c r="D24" s="726"/>
      <c r="E24" s="726"/>
      <c r="F24" s="726"/>
      <c r="G24" s="726"/>
      <c r="H24" s="726"/>
      <c r="I24" s="726"/>
      <c r="J24" s="726"/>
      <c r="K24" s="726"/>
      <c r="L24" s="726"/>
    </row>
    <row r="25" spans="1:62" ht="15">
      <c r="A25" s="589" t="s">
        <v>129</v>
      </c>
      <c r="B25" s="589" t="s">
        <v>684</v>
      </c>
      <c r="C25" s="696" t="s">
        <v>685</v>
      </c>
      <c r="D25" s="693"/>
      <c r="E25" s="693"/>
      <c r="F25" s="589" t="s">
        <v>132</v>
      </c>
      <c r="G25" s="70">
        <v>50.8</v>
      </c>
      <c r="H25" s="580">
        <v>0</v>
      </c>
      <c r="I25" s="70">
        <f>G25*AO25</f>
        <v>0</v>
      </c>
      <c r="J25" s="70">
        <f>G25*AP25</f>
        <v>0</v>
      </c>
      <c r="K25" s="70">
        <f>G25*H25</f>
        <v>0</v>
      </c>
      <c r="L25" s="71" t="s">
        <v>120</v>
      </c>
      <c r="Z25" s="70">
        <f>IF(AQ25="5",BJ25,0)</f>
        <v>0</v>
      </c>
      <c r="AB25" s="70">
        <f>IF(AQ25="1",BH25,0)</f>
        <v>0</v>
      </c>
      <c r="AC25" s="70">
        <f>IF(AQ25="1",BI25,0)</f>
        <v>0</v>
      </c>
      <c r="AD25" s="70">
        <f>IF(AQ25="7",BH25,0)</f>
        <v>0</v>
      </c>
      <c r="AE25" s="70">
        <f>IF(AQ25="7",BI25,0)</f>
        <v>0</v>
      </c>
      <c r="AF25" s="70">
        <f>IF(AQ25="2",BH25,0)</f>
        <v>0</v>
      </c>
      <c r="AG25" s="70">
        <f>IF(AQ25="2",BI25,0)</f>
        <v>0</v>
      </c>
      <c r="AH25" s="70">
        <f>IF(AQ25="0",BJ25,0)</f>
        <v>0</v>
      </c>
      <c r="AI25" s="67" t="s">
        <v>939</v>
      </c>
      <c r="AJ25" s="70">
        <f>IF(AN25=0,K25,0)</f>
        <v>0</v>
      </c>
      <c r="AK25" s="70">
        <f>IF(AN25=15,K25,0)</f>
        <v>0</v>
      </c>
      <c r="AL25" s="70">
        <f>IF(AN25=21,K25,0)</f>
        <v>0</v>
      </c>
      <c r="AN25" s="70">
        <v>21</v>
      </c>
      <c r="AO25" s="70">
        <f>H25*0</f>
        <v>0</v>
      </c>
      <c r="AP25" s="70">
        <f>H25*(1-0)</f>
        <v>0</v>
      </c>
      <c r="AQ25" s="71" t="s">
        <v>124</v>
      </c>
      <c r="AV25" s="70">
        <f>AW25+AX25</f>
        <v>0</v>
      </c>
      <c r="AW25" s="70">
        <f>G25*AO25</f>
        <v>0</v>
      </c>
      <c r="AX25" s="70">
        <f>G25*AP25</f>
        <v>0</v>
      </c>
      <c r="AY25" s="71" t="s">
        <v>350</v>
      </c>
      <c r="AZ25" s="71" t="s">
        <v>957</v>
      </c>
      <c r="BA25" s="67" t="s">
        <v>943</v>
      </c>
      <c r="BC25" s="70">
        <f>AW25+AX25</f>
        <v>0</v>
      </c>
      <c r="BD25" s="70">
        <f>H25/(100-BE25)*100</f>
        <v>0</v>
      </c>
      <c r="BE25" s="70">
        <v>0</v>
      </c>
      <c r="BF25" s="70">
        <f>25</f>
        <v>25</v>
      </c>
      <c r="BH25" s="70">
        <f>G25*AO25</f>
        <v>0</v>
      </c>
      <c r="BI25" s="70">
        <f>G25*AP25</f>
        <v>0</v>
      </c>
      <c r="BJ25" s="70">
        <f>G25*H25</f>
        <v>0</v>
      </c>
    </row>
    <row r="26" spans="2:12" ht="12.75" customHeight="1">
      <c r="B26" s="75" t="s">
        <v>67</v>
      </c>
      <c r="C26" s="725" t="s">
        <v>959</v>
      </c>
      <c r="D26" s="726"/>
      <c r="E26" s="726"/>
      <c r="F26" s="726"/>
      <c r="G26" s="726"/>
      <c r="H26" s="726"/>
      <c r="I26" s="726"/>
      <c r="J26" s="726"/>
      <c r="K26" s="726"/>
      <c r="L26" s="726"/>
    </row>
    <row r="27" spans="1:47" ht="15">
      <c r="A27" s="88"/>
      <c r="B27" s="591" t="s">
        <v>127</v>
      </c>
      <c r="C27" s="710" t="s">
        <v>128</v>
      </c>
      <c r="D27" s="711"/>
      <c r="E27" s="711"/>
      <c r="F27" s="88" t="s">
        <v>70</v>
      </c>
      <c r="G27" s="88" t="s">
        <v>70</v>
      </c>
      <c r="H27" s="624" t="s">
        <v>70</v>
      </c>
      <c r="I27" s="90">
        <f>SUM(I28:I30)</f>
        <v>0</v>
      </c>
      <c r="J27" s="90">
        <f>SUM(J28:J30)</f>
        <v>0</v>
      </c>
      <c r="K27" s="90">
        <f>SUM(K28:K30)</f>
        <v>0</v>
      </c>
      <c r="L27" s="91"/>
      <c r="AI27" s="67" t="s">
        <v>939</v>
      </c>
      <c r="AS27" s="68">
        <f>SUM(AJ28:AJ30)</f>
        <v>0</v>
      </c>
      <c r="AT27" s="68">
        <f>SUM(AK28:AK30)</f>
        <v>0</v>
      </c>
      <c r="AU27" s="68">
        <f>SUM(AL28:AL30)</f>
        <v>0</v>
      </c>
    </row>
    <row r="28" spans="1:62" ht="15">
      <c r="A28" s="589" t="s">
        <v>136</v>
      </c>
      <c r="B28" s="589" t="s">
        <v>960</v>
      </c>
      <c r="C28" s="696" t="s">
        <v>961</v>
      </c>
      <c r="D28" s="693"/>
      <c r="E28" s="693"/>
      <c r="F28" s="589" t="s">
        <v>253</v>
      </c>
      <c r="G28" s="70">
        <v>1.1</v>
      </c>
      <c r="H28" s="580">
        <v>0</v>
      </c>
      <c r="I28" s="70">
        <f>G28*AO28</f>
        <v>0</v>
      </c>
      <c r="J28" s="70">
        <f>G28*AP28</f>
        <v>0</v>
      </c>
      <c r="K28" s="70">
        <f>G28*H28</f>
        <v>0</v>
      </c>
      <c r="L28" s="71" t="s">
        <v>120</v>
      </c>
      <c r="Z28" s="70">
        <f>IF(AQ28="5",BJ28,0)</f>
        <v>0</v>
      </c>
      <c r="AB28" s="70">
        <f>IF(AQ28="1",BH28,0)</f>
        <v>0</v>
      </c>
      <c r="AC28" s="70">
        <f>IF(AQ28="1",BI28,0)</f>
        <v>0</v>
      </c>
      <c r="AD28" s="70">
        <f>IF(AQ28="7",BH28,0)</f>
        <v>0</v>
      </c>
      <c r="AE28" s="70">
        <f>IF(AQ28="7",BI28,0)</f>
        <v>0</v>
      </c>
      <c r="AF28" s="70">
        <f>IF(AQ28="2",BH28,0)</f>
        <v>0</v>
      </c>
      <c r="AG28" s="70">
        <f>IF(AQ28="2",BI28,0)</f>
        <v>0</v>
      </c>
      <c r="AH28" s="70">
        <f>IF(AQ28="0",BJ28,0)</f>
        <v>0</v>
      </c>
      <c r="AI28" s="67" t="s">
        <v>939</v>
      </c>
      <c r="AJ28" s="70">
        <f>IF(AN28=0,K28,0)</f>
        <v>0</v>
      </c>
      <c r="AK28" s="70">
        <f>IF(AN28=15,K28,0)</f>
        <v>0</v>
      </c>
      <c r="AL28" s="70">
        <f>IF(AN28=21,K28,0)</f>
        <v>0</v>
      </c>
      <c r="AN28" s="70">
        <v>21</v>
      </c>
      <c r="AO28" s="70">
        <f>H28*0</f>
        <v>0</v>
      </c>
      <c r="AP28" s="70">
        <f>H28*(1-0)</f>
        <v>0</v>
      </c>
      <c r="AQ28" s="71" t="s">
        <v>124</v>
      </c>
      <c r="AV28" s="70">
        <f>AW28+AX28</f>
        <v>0</v>
      </c>
      <c r="AW28" s="70">
        <f>G28*AO28</f>
        <v>0</v>
      </c>
      <c r="AX28" s="70">
        <f>G28*AP28</f>
        <v>0</v>
      </c>
      <c r="AY28" s="71" t="s">
        <v>133</v>
      </c>
      <c r="AZ28" s="71" t="s">
        <v>957</v>
      </c>
      <c r="BA28" s="67" t="s">
        <v>943</v>
      </c>
      <c r="BC28" s="70">
        <f>AW28+AX28</f>
        <v>0</v>
      </c>
      <c r="BD28" s="70">
        <f>H28/(100-BE28)*100</f>
        <v>0</v>
      </c>
      <c r="BE28" s="70">
        <v>0</v>
      </c>
      <c r="BF28" s="70">
        <f>28</f>
        <v>28</v>
      </c>
      <c r="BH28" s="70">
        <f>G28*AO28</f>
        <v>0</v>
      </c>
      <c r="BI28" s="70">
        <f>G28*AP28</f>
        <v>0</v>
      </c>
      <c r="BJ28" s="70">
        <f>G28*H28</f>
        <v>0</v>
      </c>
    </row>
    <row r="29" spans="2:12" ht="25.35" customHeight="1">
      <c r="B29" s="75" t="s">
        <v>67</v>
      </c>
      <c r="C29" s="725" t="s">
        <v>962</v>
      </c>
      <c r="D29" s="726"/>
      <c r="E29" s="726"/>
      <c r="F29" s="726"/>
      <c r="G29" s="726"/>
      <c r="H29" s="726"/>
      <c r="I29" s="726"/>
      <c r="J29" s="726"/>
      <c r="K29" s="726"/>
      <c r="L29" s="726"/>
    </row>
    <row r="30" spans="1:62" ht="15">
      <c r="A30" s="589" t="s">
        <v>139</v>
      </c>
      <c r="B30" s="589" t="s">
        <v>137</v>
      </c>
      <c r="C30" s="696" t="s">
        <v>963</v>
      </c>
      <c r="D30" s="693"/>
      <c r="E30" s="693"/>
      <c r="F30" s="589" t="s">
        <v>132</v>
      </c>
      <c r="G30" s="70">
        <v>1</v>
      </c>
      <c r="H30" s="580">
        <v>0</v>
      </c>
      <c r="I30" s="70">
        <f>G30*AO30</f>
        <v>0</v>
      </c>
      <c r="J30" s="70">
        <f>G30*AP30</f>
        <v>0</v>
      </c>
      <c r="K30" s="70">
        <f>G30*H30</f>
        <v>0</v>
      </c>
      <c r="L30" s="71" t="s">
        <v>120</v>
      </c>
      <c r="Z30" s="70">
        <f>IF(AQ30="5",BJ30,0)</f>
        <v>0</v>
      </c>
      <c r="AB30" s="70">
        <f>IF(AQ30="1",BH30,0)</f>
        <v>0</v>
      </c>
      <c r="AC30" s="70">
        <f>IF(AQ30="1",BI30,0)</f>
        <v>0</v>
      </c>
      <c r="AD30" s="70">
        <f>IF(AQ30="7",BH30,0)</f>
        <v>0</v>
      </c>
      <c r="AE30" s="70">
        <f>IF(AQ30="7",BI30,0)</f>
        <v>0</v>
      </c>
      <c r="AF30" s="70">
        <f>IF(AQ30="2",BH30,0)</f>
        <v>0</v>
      </c>
      <c r="AG30" s="70">
        <f>IF(AQ30="2",BI30,0)</f>
        <v>0</v>
      </c>
      <c r="AH30" s="70">
        <f>IF(AQ30="0",BJ30,0)</f>
        <v>0</v>
      </c>
      <c r="AI30" s="67" t="s">
        <v>939</v>
      </c>
      <c r="AJ30" s="70">
        <f>IF(AN30=0,K30,0)</f>
        <v>0</v>
      </c>
      <c r="AK30" s="70">
        <f>IF(AN30=15,K30,0)</f>
        <v>0</v>
      </c>
      <c r="AL30" s="70">
        <f>IF(AN30=21,K30,0)</f>
        <v>0</v>
      </c>
      <c r="AN30" s="70">
        <v>21</v>
      </c>
      <c r="AO30" s="70">
        <f>H30*0</f>
        <v>0</v>
      </c>
      <c r="AP30" s="70">
        <f>H30*(1-0)</f>
        <v>0</v>
      </c>
      <c r="AQ30" s="71" t="s">
        <v>124</v>
      </c>
      <c r="AV30" s="70">
        <f>AW30+AX30</f>
        <v>0</v>
      </c>
      <c r="AW30" s="70">
        <f>G30*AO30</f>
        <v>0</v>
      </c>
      <c r="AX30" s="70">
        <f>G30*AP30</f>
        <v>0</v>
      </c>
      <c r="AY30" s="71" t="s">
        <v>133</v>
      </c>
      <c r="AZ30" s="71" t="s">
        <v>957</v>
      </c>
      <c r="BA30" s="67" t="s">
        <v>943</v>
      </c>
      <c r="BC30" s="70">
        <f>AW30+AX30</f>
        <v>0</v>
      </c>
      <c r="BD30" s="70">
        <f>H30/(100-BE30)*100</f>
        <v>0</v>
      </c>
      <c r="BE30" s="70">
        <v>0</v>
      </c>
      <c r="BF30" s="70">
        <f>30</f>
        <v>30</v>
      </c>
      <c r="BH30" s="70">
        <f>G30*AO30</f>
        <v>0</v>
      </c>
      <c r="BI30" s="70">
        <f>G30*AP30</f>
        <v>0</v>
      </c>
      <c r="BJ30" s="70">
        <f>G30*H30</f>
        <v>0</v>
      </c>
    </row>
    <row r="31" spans="2:12" ht="38.7" customHeight="1">
      <c r="B31" s="75" t="s">
        <v>67</v>
      </c>
      <c r="C31" s="725" t="s">
        <v>964</v>
      </c>
      <c r="D31" s="726"/>
      <c r="E31" s="726"/>
      <c r="F31" s="726"/>
      <c r="G31" s="726"/>
      <c r="H31" s="726"/>
      <c r="I31" s="726"/>
      <c r="J31" s="726"/>
      <c r="K31" s="726"/>
      <c r="L31" s="726"/>
    </row>
    <row r="32" spans="1:12" ht="15">
      <c r="A32" s="48"/>
      <c r="B32" s="590"/>
      <c r="C32" s="727" t="s">
        <v>725</v>
      </c>
      <c r="D32" s="728"/>
      <c r="E32" s="728"/>
      <c r="F32" s="48" t="s">
        <v>70</v>
      </c>
      <c r="G32" s="48" t="s">
        <v>70</v>
      </c>
      <c r="H32" s="48" t="s">
        <v>70</v>
      </c>
      <c r="I32" s="50">
        <f>I33</f>
        <v>0</v>
      </c>
      <c r="J32" s="50">
        <f>J33</f>
        <v>0</v>
      </c>
      <c r="K32" s="50">
        <f>K33</f>
        <v>0</v>
      </c>
      <c r="L32" s="51"/>
    </row>
    <row r="33" spans="1:47" ht="15">
      <c r="A33" s="88"/>
      <c r="B33" s="591" t="s">
        <v>965</v>
      </c>
      <c r="C33" s="710" t="s">
        <v>966</v>
      </c>
      <c r="D33" s="711"/>
      <c r="E33" s="711"/>
      <c r="F33" s="88" t="s">
        <v>70</v>
      </c>
      <c r="G33" s="88" t="s">
        <v>70</v>
      </c>
      <c r="H33" s="88" t="s">
        <v>70</v>
      </c>
      <c r="I33" s="90">
        <f>SUM(I34:I34)</f>
        <v>0</v>
      </c>
      <c r="J33" s="90">
        <f>SUM(J34:J34)</f>
        <v>0</v>
      </c>
      <c r="K33" s="90">
        <f>SUM(K34:K34)</f>
        <v>0</v>
      </c>
      <c r="L33" s="91"/>
      <c r="AI33" s="67" t="s">
        <v>105</v>
      </c>
      <c r="AS33" s="68">
        <f>SUM(AJ34:AJ34)</f>
        <v>0</v>
      </c>
      <c r="AT33" s="68">
        <f>SUM(AK34:AK34)</f>
        <v>0</v>
      </c>
      <c r="AU33" s="68">
        <f>SUM(AL34:AL34)</f>
        <v>0</v>
      </c>
    </row>
    <row r="34" spans="1:62" ht="15">
      <c r="A34" s="589" t="s">
        <v>145</v>
      </c>
      <c r="B34" s="589" t="s">
        <v>967</v>
      </c>
      <c r="C34" s="696" t="s">
        <v>968</v>
      </c>
      <c r="D34" s="693"/>
      <c r="E34" s="693"/>
      <c r="F34" s="589" t="s">
        <v>312</v>
      </c>
      <c r="G34" s="70">
        <v>4</v>
      </c>
      <c r="H34" s="580">
        <v>0</v>
      </c>
      <c r="I34" s="70">
        <f>G34*AO34</f>
        <v>0</v>
      </c>
      <c r="J34" s="70">
        <f>G34*AP34</f>
        <v>0</v>
      </c>
      <c r="K34" s="70">
        <f>G34*H34</f>
        <v>0</v>
      </c>
      <c r="L34" s="71" t="s">
        <v>120</v>
      </c>
      <c r="Z34" s="70">
        <f>IF(AQ34="5",BJ34,0)</f>
        <v>0</v>
      </c>
      <c r="AB34" s="70">
        <f>IF(AQ34="1",BH34,0)</f>
        <v>0</v>
      </c>
      <c r="AC34" s="70">
        <f>IF(AQ34="1",BI34,0)</f>
        <v>0</v>
      </c>
      <c r="AD34" s="70">
        <f>IF(AQ34="7",BH34,0)</f>
        <v>0</v>
      </c>
      <c r="AE34" s="70">
        <f>IF(AQ34="7",BI34,0)</f>
        <v>0</v>
      </c>
      <c r="AF34" s="70">
        <f>IF(AQ34="2",BH34,0)</f>
        <v>0</v>
      </c>
      <c r="AG34" s="70">
        <f>IF(AQ34="2",BI34,0)</f>
        <v>0</v>
      </c>
      <c r="AH34" s="70">
        <f>IF(AQ34="0",BJ34,0)</f>
        <v>0</v>
      </c>
      <c r="AI34" s="67" t="s">
        <v>105</v>
      </c>
      <c r="AJ34" s="70">
        <f>IF(AN34=0,K34,0)</f>
        <v>0</v>
      </c>
      <c r="AK34" s="70">
        <f>IF(AN34=15,K34,0)</f>
        <v>0</v>
      </c>
      <c r="AL34" s="70">
        <f>IF(AN34=21,K34,0)</f>
        <v>0</v>
      </c>
      <c r="AN34" s="70">
        <v>21</v>
      </c>
      <c r="AO34" s="70">
        <f>H34*0</f>
        <v>0</v>
      </c>
      <c r="AP34" s="70">
        <f>H34*(1-0)</f>
        <v>0</v>
      </c>
      <c r="AQ34" s="71" t="s">
        <v>106</v>
      </c>
      <c r="AV34" s="70">
        <f>AW34+AX34</f>
        <v>0</v>
      </c>
      <c r="AW34" s="70">
        <f>G34*AO34</f>
        <v>0</v>
      </c>
      <c r="AX34" s="70">
        <f>G34*AP34</f>
        <v>0</v>
      </c>
      <c r="AY34" s="71" t="s">
        <v>969</v>
      </c>
      <c r="AZ34" s="71" t="s">
        <v>112</v>
      </c>
      <c r="BA34" s="67" t="s">
        <v>113</v>
      </c>
      <c r="BC34" s="70">
        <f>AW34+AX34</f>
        <v>0</v>
      </c>
      <c r="BD34" s="70">
        <f>H34/(100-BE34)*100</f>
        <v>0</v>
      </c>
      <c r="BE34" s="70">
        <v>0</v>
      </c>
      <c r="BF34" s="70">
        <f>34</f>
        <v>34</v>
      </c>
      <c r="BH34" s="70">
        <f>G34*AO34</f>
        <v>0</v>
      </c>
      <c r="BI34" s="70">
        <f>G34*AP34</f>
        <v>0</v>
      </c>
      <c r="BJ34" s="70">
        <f>G34*H34</f>
        <v>0</v>
      </c>
    </row>
    <row r="35" spans="1:12" ht="15">
      <c r="A35" s="48"/>
      <c r="B35" s="590"/>
      <c r="C35" s="727" t="s">
        <v>970</v>
      </c>
      <c r="D35" s="728"/>
      <c r="E35" s="728"/>
      <c r="F35" s="48" t="s">
        <v>70</v>
      </c>
      <c r="G35" s="48" t="s">
        <v>70</v>
      </c>
      <c r="H35" s="48" t="s">
        <v>70</v>
      </c>
      <c r="I35" s="50">
        <f>I36+I38+I49+I52+I54</f>
        <v>0</v>
      </c>
      <c r="J35" s="50">
        <f>J36+J38+J49+J52+J54</f>
        <v>0</v>
      </c>
      <c r="K35" s="50">
        <f>K36+K38+K49+K52+K54</f>
        <v>0</v>
      </c>
      <c r="L35" s="51"/>
    </row>
    <row r="36" spans="1:47" ht="15">
      <c r="A36" s="88"/>
      <c r="B36" s="591" t="s">
        <v>501</v>
      </c>
      <c r="C36" s="710" t="s">
        <v>971</v>
      </c>
      <c r="D36" s="711"/>
      <c r="E36" s="711"/>
      <c r="F36" s="88" t="s">
        <v>70</v>
      </c>
      <c r="G36" s="88" t="s">
        <v>70</v>
      </c>
      <c r="H36" s="88" t="s">
        <v>70</v>
      </c>
      <c r="I36" s="90">
        <f>SUM(I37:I37)</f>
        <v>0</v>
      </c>
      <c r="J36" s="90">
        <f>SUM(J37:J37)</f>
        <v>0</v>
      </c>
      <c r="K36" s="90">
        <f>SUM(K37:K37)</f>
        <v>0</v>
      </c>
      <c r="L36" s="91"/>
      <c r="AI36" s="67" t="s">
        <v>144</v>
      </c>
      <c r="AS36" s="68">
        <f>SUM(AJ37:AJ37)</f>
        <v>0</v>
      </c>
      <c r="AT36" s="68">
        <f>SUM(AK37:AK37)</f>
        <v>0</v>
      </c>
      <c r="AU36" s="68">
        <f>SUM(AL37:AL37)</f>
        <v>0</v>
      </c>
    </row>
    <row r="37" spans="1:62" ht="15">
      <c r="A37" s="589" t="s">
        <v>150</v>
      </c>
      <c r="B37" s="589" t="s">
        <v>972</v>
      </c>
      <c r="C37" s="696" t="s">
        <v>973</v>
      </c>
      <c r="D37" s="693"/>
      <c r="E37" s="693"/>
      <c r="F37" s="589" t="s">
        <v>306</v>
      </c>
      <c r="G37" s="70">
        <v>22</v>
      </c>
      <c r="H37" s="580">
        <v>0</v>
      </c>
      <c r="I37" s="70">
        <f>G37*AO37</f>
        <v>0</v>
      </c>
      <c r="J37" s="70">
        <f>G37*AP37</f>
        <v>0</v>
      </c>
      <c r="K37" s="70">
        <f>G37*H37</f>
        <v>0</v>
      </c>
      <c r="L37" s="71"/>
      <c r="Z37" s="70">
        <f>IF(AQ37="5",BJ37,0)</f>
        <v>0</v>
      </c>
      <c r="AB37" s="70">
        <f>IF(AQ37="1",BH37,0)</f>
        <v>0</v>
      </c>
      <c r="AC37" s="70">
        <f>IF(AQ37="1",BI37,0)</f>
        <v>0</v>
      </c>
      <c r="AD37" s="70">
        <f>IF(AQ37="7",BH37,0)</f>
        <v>0</v>
      </c>
      <c r="AE37" s="70">
        <f>IF(AQ37="7",BI37,0)</f>
        <v>0</v>
      </c>
      <c r="AF37" s="70">
        <f>IF(AQ37="2",BH37,0)</f>
        <v>0</v>
      </c>
      <c r="AG37" s="70">
        <f>IF(AQ37="2",BI37,0)</f>
        <v>0</v>
      </c>
      <c r="AH37" s="70">
        <f>IF(AQ37="0",BJ37,0)</f>
        <v>0</v>
      </c>
      <c r="AI37" s="67" t="s">
        <v>144</v>
      </c>
      <c r="AJ37" s="70">
        <f>IF(AN37=0,K37,0)</f>
        <v>0</v>
      </c>
      <c r="AK37" s="70">
        <f>IF(AN37=15,K37,0)</f>
        <v>0</v>
      </c>
      <c r="AL37" s="70">
        <f>IF(AN37=21,K37,0)</f>
        <v>0</v>
      </c>
      <c r="AN37" s="70">
        <v>21</v>
      </c>
      <c r="AO37" s="70">
        <f>H37*0</f>
        <v>0</v>
      </c>
      <c r="AP37" s="70">
        <f>H37*(1-0)</f>
        <v>0</v>
      </c>
      <c r="AQ37" s="71" t="s">
        <v>106</v>
      </c>
      <c r="AV37" s="70">
        <f>AW37+AX37</f>
        <v>0</v>
      </c>
      <c r="AW37" s="70">
        <f>G37*AO37</f>
        <v>0</v>
      </c>
      <c r="AX37" s="70">
        <f>G37*AP37</f>
        <v>0</v>
      </c>
      <c r="AY37" s="71" t="s">
        <v>974</v>
      </c>
      <c r="AZ37" s="71" t="s">
        <v>148</v>
      </c>
      <c r="BA37" s="67" t="s">
        <v>149</v>
      </c>
      <c r="BC37" s="70">
        <f>AW37+AX37</f>
        <v>0</v>
      </c>
      <c r="BD37" s="70">
        <f>H37/(100-BE37)*100</f>
        <v>0</v>
      </c>
      <c r="BE37" s="70">
        <v>0</v>
      </c>
      <c r="BF37" s="70">
        <f>37</f>
        <v>37</v>
      </c>
      <c r="BH37" s="70">
        <f>G37*AO37</f>
        <v>0</v>
      </c>
      <c r="BI37" s="70">
        <f>G37*AP37</f>
        <v>0</v>
      </c>
      <c r="BJ37" s="70">
        <f>G37*H37</f>
        <v>0</v>
      </c>
    </row>
    <row r="38" spans="1:47" ht="15">
      <c r="A38" s="88"/>
      <c r="B38" s="591" t="s">
        <v>177</v>
      </c>
      <c r="C38" s="710" t="s">
        <v>975</v>
      </c>
      <c r="D38" s="711"/>
      <c r="E38" s="711"/>
      <c r="F38" s="88" t="s">
        <v>70</v>
      </c>
      <c r="G38" s="88" t="s">
        <v>70</v>
      </c>
      <c r="H38" s="624" t="s">
        <v>70</v>
      </c>
      <c r="I38" s="90">
        <f>SUM(I39:I48)</f>
        <v>0</v>
      </c>
      <c r="J38" s="90">
        <f>SUM(J39:J48)</f>
        <v>0</v>
      </c>
      <c r="K38" s="90">
        <f>SUM(K39:K48)</f>
        <v>0</v>
      </c>
      <c r="L38" s="91"/>
      <c r="AI38" s="67" t="s">
        <v>144</v>
      </c>
      <c r="AS38" s="68">
        <f>SUM(AJ39:AJ48)</f>
        <v>0</v>
      </c>
      <c r="AT38" s="68">
        <f>SUM(AK39:AK48)</f>
        <v>0</v>
      </c>
      <c r="AU38" s="68">
        <f>SUM(AL39:AL48)</f>
        <v>0</v>
      </c>
    </row>
    <row r="39" spans="1:62" ht="15">
      <c r="A39" s="589" t="s">
        <v>103</v>
      </c>
      <c r="B39" s="589" t="s">
        <v>976</v>
      </c>
      <c r="C39" s="696" t="s">
        <v>977</v>
      </c>
      <c r="D39" s="693"/>
      <c r="E39" s="693"/>
      <c r="F39" s="589" t="s">
        <v>674</v>
      </c>
      <c r="G39" s="70">
        <v>22</v>
      </c>
      <c r="H39" s="580">
        <v>0</v>
      </c>
      <c r="I39" s="70">
        <f aca="true" t="shared" si="0" ref="I39:I48">G39*AO39</f>
        <v>0</v>
      </c>
      <c r="J39" s="70">
        <f aca="true" t="shared" si="1" ref="J39:J48">G39*AP39</f>
        <v>0</v>
      </c>
      <c r="K39" s="70">
        <f aca="true" t="shared" si="2" ref="K39:K48">G39*H39</f>
        <v>0</v>
      </c>
      <c r="L39" s="71" t="s">
        <v>120</v>
      </c>
      <c r="Z39" s="70">
        <f aca="true" t="shared" si="3" ref="Z39:Z48">IF(AQ39="5",BJ39,0)</f>
        <v>0</v>
      </c>
      <c r="AB39" s="70">
        <f aca="true" t="shared" si="4" ref="AB39:AB48">IF(AQ39="1",BH39,0)</f>
        <v>0</v>
      </c>
      <c r="AC39" s="70">
        <f aca="true" t="shared" si="5" ref="AC39:AC48">IF(AQ39="1",BI39,0)</f>
        <v>0</v>
      </c>
      <c r="AD39" s="70">
        <f aca="true" t="shared" si="6" ref="AD39:AD48">IF(AQ39="7",BH39,0)</f>
        <v>0</v>
      </c>
      <c r="AE39" s="70">
        <f aca="true" t="shared" si="7" ref="AE39:AE48">IF(AQ39="7",BI39,0)</f>
        <v>0</v>
      </c>
      <c r="AF39" s="70">
        <f aca="true" t="shared" si="8" ref="AF39:AF48">IF(AQ39="2",BH39,0)</f>
        <v>0</v>
      </c>
      <c r="AG39" s="70">
        <f aca="true" t="shared" si="9" ref="AG39:AG48">IF(AQ39="2",BI39,0)</f>
        <v>0</v>
      </c>
      <c r="AH39" s="70">
        <f aca="true" t="shared" si="10" ref="AH39:AH48">IF(AQ39="0",BJ39,0)</f>
        <v>0</v>
      </c>
      <c r="AI39" s="67" t="s">
        <v>144</v>
      </c>
      <c r="AJ39" s="70">
        <f aca="true" t="shared" si="11" ref="AJ39:AJ48">IF(AN39=0,K39,0)</f>
        <v>0</v>
      </c>
      <c r="AK39" s="70">
        <f aca="true" t="shared" si="12" ref="AK39:AK48">IF(AN39=15,K39,0)</f>
        <v>0</v>
      </c>
      <c r="AL39" s="70">
        <f aca="true" t="shared" si="13" ref="AL39:AL48">IF(AN39=21,K39,0)</f>
        <v>0</v>
      </c>
      <c r="AN39" s="70">
        <v>21</v>
      </c>
      <c r="AO39" s="70">
        <f>H39*0</f>
        <v>0</v>
      </c>
      <c r="AP39" s="70">
        <f>H39*(1-0)</f>
        <v>0</v>
      </c>
      <c r="AQ39" s="71" t="s">
        <v>106</v>
      </c>
      <c r="AV39" s="70">
        <f aca="true" t="shared" si="14" ref="AV39:AV48">AW39+AX39</f>
        <v>0</v>
      </c>
      <c r="AW39" s="70">
        <f aca="true" t="shared" si="15" ref="AW39:AW48">G39*AO39</f>
        <v>0</v>
      </c>
      <c r="AX39" s="70">
        <f aca="true" t="shared" si="16" ref="AX39:AX48">G39*AP39</f>
        <v>0</v>
      </c>
      <c r="AY39" s="71" t="s">
        <v>439</v>
      </c>
      <c r="AZ39" s="71" t="s">
        <v>148</v>
      </c>
      <c r="BA39" s="67" t="s">
        <v>149</v>
      </c>
      <c r="BC39" s="70">
        <f aca="true" t="shared" si="17" ref="BC39:BC48">AW39+AX39</f>
        <v>0</v>
      </c>
      <c r="BD39" s="70">
        <f aca="true" t="shared" si="18" ref="BD39:BD48">H39/(100-BE39)*100</f>
        <v>0</v>
      </c>
      <c r="BE39" s="70">
        <v>0</v>
      </c>
      <c r="BF39" s="70">
        <f>39</f>
        <v>39</v>
      </c>
      <c r="BH39" s="70">
        <f aca="true" t="shared" si="19" ref="BH39:BH48">G39*AO39</f>
        <v>0</v>
      </c>
      <c r="BI39" s="70">
        <f aca="true" t="shared" si="20" ref="BI39:BI48">G39*AP39</f>
        <v>0</v>
      </c>
      <c r="BJ39" s="70">
        <f aca="true" t="shared" si="21" ref="BJ39:BJ48">G39*H39</f>
        <v>0</v>
      </c>
    </row>
    <row r="40" spans="1:62" ht="15">
      <c r="A40" s="589" t="s">
        <v>155</v>
      </c>
      <c r="B40" s="589" t="s">
        <v>978</v>
      </c>
      <c r="C40" s="696" t="s">
        <v>979</v>
      </c>
      <c r="D40" s="693"/>
      <c r="E40" s="693"/>
      <c r="F40" s="589" t="s">
        <v>674</v>
      </c>
      <c r="G40" s="70">
        <v>2</v>
      </c>
      <c r="H40" s="580">
        <v>0</v>
      </c>
      <c r="I40" s="70">
        <f t="shared" si="0"/>
        <v>0</v>
      </c>
      <c r="J40" s="70">
        <f t="shared" si="1"/>
        <v>0</v>
      </c>
      <c r="K40" s="70">
        <f t="shared" si="2"/>
        <v>0</v>
      </c>
      <c r="L40" s="71" t="s">
        <v>120</v>
      </c>
      <c r="Z40" s="70">
        <f t="shared" si="3"/>
        <v>0</v>
      </c>
      <c r="AB40" s="70">
        <f t="shared" si="4"/>
        <v>0</v>
      </c>
      <c r="AC40" s="70">
        <f t="shared" si="5"/>
        <v>0</v>
      </c>
      <c r="AD40" s="70">
        <f t="shared" si="6"/>
        <v>0</v>
      </c>
      <c r="AE40" s="70">
        <f t="shared" si="7"/>
        <v>0</v>
      </c>
      <c r="AF40" s="70">
        <f t="shared" si="8"/>
        <v>0</v>
      </c>
      <c r="AG40" s="70">
        <f t="shared" si="9"/>
        <v>0</v>
      </c>
      <c r="AH40" s="70">
        <f t="shared" si="10"/>
        <v>0</v>
      </c>
      <c r="AI40" s="67" t="s">
        <v>144</v>
      </c>
      <c r="AJ40" s="70">
        <f t="shared" si="11"/>
        <v>0</v>
      </c>
      <c r="AK40" s="70">
        <f t="shared" si="12"/>
        <v>0</v>
      </c>
      <c r="AL40" s="70">
        <f t="shared" si="13"/>
        <v>0</v>
      </c>
      <c r="AN40" s="70">
        <v>21</v>
      </c>
      <c r="AO40" s="70">
        <f>H40*0</f>
        <v>0</v>
      </c>
      <c r="AP40" s="70">
        <f>H40*(1-0)</f>
        <v>0</v>
      </c>
      <c r="AQ40" s="71" t="s">
        <v>106</v>
      </c>
      <c r="AV40" s="70">
        <f t="shared" si="14"/>
        <v>0</v>
      </c>
      <c r="AW40" s="70">
        <f t="shared" si="15"/>
        <v>0</v>
      </c>
      <c r="AX40" s="70">
        <f t="shared" si="16"/>
        <v>0</v>
      </c>
      <c r="AY40" s="71" t="s">
        <v>439</v>
      </c>
      <c r="AZ40" s="71" t="s">
        <v>148</v>
      </c>
      <c r="BA40" s="67" t="s">
        <v>149</v>
      </c>
      <c r="BC40" s="70">
        <f t="shared" si="17"/>
        <v>0</v>
      </c>
      <c r="BD40" s="70">
        <f t="shared" si="18"/>
        <v>0</v>
      </c>
      <c r="BE40" s="70">
        <v>0</v>
      </c>
      <c r="BF40" s="70">
        <f>40</f>
        <v>40</v>
      </c>
      <c r="BH40" s="70">
        <f t="shared" si="19"/>
        <v>0</v>
      </c>
      <c r="BI40" s="70">
        <f t="shared" si="20"/>
        <v>0</v>
      </c>
      <c r="BJ40" s="70">
        <f t="shared" si="21"/>
        <v>0</v>
      </c>
    </row>
    <row r="41" spans="1:62" ht="15">
      <c r="A41" s="589" t="s">
        <v>158</v>
      </c>
      <c r="B41" s="589" t="s">
        <v>980</v>
      </c>
      <c r="C41" s="696" t="s">
        <v>981</v>
      </c>
      <c r="D41" s="693"/>
      <c r="E41" s="693"/>
      <c r="F41" s="589" t="s">
        <v>674</v>
      </c>
      <c r="G41" s="70">
        <v>12</v>
      </c>
      <c r="H41" s="580">
        <v>0</v>
      </c>
      <c r="I41" s="70">
        <f t="shared" si="0"/>
        <v>0</v>
      </c>
      <c r="J41" s="70">
        <f t="shared" si="1"/>
        <v>0</v>
      </c>
      <c r="K41" s="70">
        <f t="shared" si="2"/>
        <v>0</v>
      </c>
      <c r="L41" s="71" t="s">
        <v>120</v>
      </c>
      <c r="Z41" s="70">
        <f t="shared" si="3"/>
        <v>0</v>
      </c>
      <c r="AB41" s="70">
        <f t="shared" si="4"/>
        <v>0</v>
      </c>
      <c r="AC41" s="70">
        <f t="shared" si="5"/>
        <v>0</v>
      </c>
      <c r="AD41" s="70">
        <f t="shared" si="6"/>
        <v>0</v>
      </c>
      <c r="AE41" s="70">
        <f t="shared" si="7"/>
        <v>0</v>
      </c>
      <c r="AF41" s="70">
        <f t="shared" si="8"/>
        <v>0</v>
      </c>
      <c r="AG41" s="70">
        <f t="shared" si="9"/>
        <v>0</v>
      </c>
      <c r="AH41" s="70">
        <f t="shared" si="10"/>
        <v>0</v>
      </c>
      <c r="AI41" s="67" t="s">
        <v>144</v>
      </c>
      <c r="AJ41" s="70">
        <f t="shared" si="11"/>
        <v>0</v>
      </c>
      <c r="AK41" s="70">
        <f t="shared" si="12"/>
        <v>0</v>
      </c>
      <c r="AL41" s="70">
        <f t="shared" si="13"/>
        <v>0</v>
      </c>
      <c r="AN41" s="70">
        <v>21</v>
      </c>
      <c r="AO41" s="70">
        <f>H41*0</f>
        <v>0</v>
      </c>
      <c r="AP41" s="70">
        <f>H41*(1-0)</f>
        <v>0</v>
      </c>
      <c r="AQ41" s="71" t="s">
        <v>106</v>
      </c>
      <c r="AV41" s="70">
        <f t="shared" si="14"/>
        <v>0</v>
      </c>
      <c r="AW41" s="70">
        <f t="shared" si="15"/>
        <v>0</v>
      </c>
      <c r="AX41" s="70">
        <f t="shared" si="16"/>
        <v>0</v>
      </c>
      <c r="AY41" s="71" t="s">
        <v>439</v>
      </c>
      <c r="AZ41" s="71" t="s">
        <v>148</v>
      </c>
      <c r="BA41" s="67" t="s">
        <v>149</v>
      </c>
      <c r="BC41" s="70">
        <f t="shared" si="17"/>
        <v>0</v>
      </c>
      <c r="BD41" s="70">
        <f t="shared" si="18"/>
        <v>0</v>
      </c>
      <c r="BE41" s="70">
        <v>0</v>
      </c>
      <c r="BF41" s="70">
        <f>41</f>
        <v>41</v>
      </c>
      <c r="BH41" s="70">
        <f t="shared" si="19"/>
        <v>0</v>
      </c>
      <c r="BI41" s="70">
        <f t="shared" si="20"/>
        <v>0</v>
      </c>
      <c r="BJ41" s="70">
        <f t="shared" si="21"/>
        <v>0</v>
      </c>
    </row>
    <row r="42" spans="1:62" ht="15">
      <c r="A42" s="589" t="s">
        <v>163</v>
      </c>
      <c r="B42" s="589" t="s">
        <v>982</v>
      </c>
      <c r="C42" s="696" t="s">
        <v>983</v>
      </c>
      <c r="D42" s="693"/>
      <c r="E42" s="693"/>
      <c r="F42" s="589" t="s">
        <v>674</v>
      </c>
      <c r="G42" s="70">
        <v>8</v>
      </c>
      <c r="H42" s="580">
        <v>0</v>
      </c>
      <c r="I42" s="70">
        <f t="shared" si="0"/>
        <v>0</v>
      </c>
      <c r="J42" s="70">
        <f t="shared" si="1"/>
        <v>0</v>
      </c>
      <c r="K42" s="70">
        <f t="shared" si="2"/>
        <v>0</v>
      </c>
      <c r="L42" s="71" t="s">
        <v>120</v>
      </c>
      <c r="Z42" s="70">
        <f t="shared" si="3"/>
        <v>0</v>
      </c>
      <c r="AB42" s="70">
        <f t="shared" si="4"/>
        <v>0</v>
      </c>
      <c r="AC42" s="70">
        <f t="shared" si="5"/>
        <v>0</v>
      </c>
      <c r="AD42" s="70">
        <f t="shared" si="6"/>
        <v>0</v>
      </c>
      <c r="AE42" s="70">
        <f t="shared" si="7"/>
        <v>0</v>
      </c>
      <c r="AF42" s="70">
        <f t="shared" si="8"/>
        <v>0</v>
      </c>
      <c r="AG42" s="70">
        <f t="shared" si="9"/>
        <v>0</v>
      </c>
      <c r="AH42" s="70">
        <f t="shared" si="10"/>
        <v>0</v>
      </c>
      <c r="AI42" s="67" t="s">
        <v>144</v>
      </c>
      <c r="AJ42" s="70">
        <f t="shared" si="11"/>
        <v>0</v>
      </c>
      <c r="AK42" s="70">
        <f t="shared" si="12"/>
        <v>0</v>
      </c>
      <c r="AL42" s="70">
        <f t="shared" si="13"/>
        <v>0</v>
      </c>
      <c r="AN42" s="70">
        <v>21</v>
      </c>
      <c r="AO42" s="70">
        <f>H42*0</f>
        <v>0</v>
      </c>
      <c r="AP42" s="70">
        <f>H42*(1-0)</f>
        <v>0</v>
      </c>
      <c r="AQ42" s="71" t="s">
        <v>106</v>
      </c>
      <c r="AV42" s="70">
        <f t="shared" si="14"/>
        <v>0</v>
      </c>
      <c r="AW42" s="70">
        <f t="shared" si="15"/>
        <v>0</v>
      </c>
      <c r="AX42" s="70">
        <f t="shared" si="16"/>
        <v>0</v>
      </c>
      <c r="AY42" s="71" t="s">
        <v>439</v>
      </c>
      <c r="AZ42" s="71" t="s">
        <v>148</v>
      </c>
      <c r="BA42" s="67" t="s">
        <v>149</v>
      </c>
      <c r="BC42" s="70">
        <f t="shared" si="17"/>
        <v>0</v>
      </c>
      <c r="BD42" s="70">
        <f t="shared" si="18"/>
        <v>0</v>
      </c>
      <c r="BE42" s="70">
        <v>0</v>
      </c>
      <c r="BF42" s="70">
        <f>42</f>
        <v>42</v>
      </c>
      <c r="BH42" s="70">
        <f t="shared" si="19"/>
        <v>0</v>
      </c>
      <c r="BI42" s="70">
        <f t="shared" si="20"/>
        <v>0</v>
      </c>
      <c r="BJ42" s="70">
        <f t="shared" si="21"/>
        <v>0</v>
      </c>
    </row>
    <row r="43" spans="1:62" ht="15">
      <c r="A43" s="589" t="s">
        <v>166</v>
      </c>
      <c r="B43" s="589" t="s">
        <v>984</v>
      </c>
      <c r="C43" s="696" t="s">
        <v>985</v>
      </c>
      <c r="D43" s="693"/>
      <c r="E43" s="693"/>
      <c r="F43" s="589" t="s">
        <v>674</v>
      </c>
      <c r="G43" s="70">
        <v>2</v>
      </c>
      <c r="H43" s="580">
        <v>0</v>
      </c>
      <c r="I43" s="70">
        <f t="shared" si="0"/>
        <v>0</v>
      </c>
      <c r="J43" s="70">
        <f t="shared" si="1"/>
        <v>0</v>
      </c>
      <c r="K43" s="70">
        <f t="shared" si="2"/>
        <v>0</v>
      </c>
      <c r="L43" s="71" t="s">
        <v>120</v>
      </c>
      <c r="Z43" s="70">
        <f t="shared" si="3"/>
        <v>0</v>
      </c>
      <c r="AB43" s="70">
        <f t="shared" si="4"/>
        <v>0</v>
      </c>
      <c r="AC43" s="70">
        <f t="shared" si="5"/>
        <v>0</v>
      </c>
      <c r="AD43" s="70">
        <f t="shared" si="6"/>
        <v>0</v>
      </c>
      <c r="AE43" s="70">
        <f t="shared" si="7"/>
        <v>0</v>
      </c>
      <c r="AF43" s="70">
        <f t="shared" si="8"/>
        <v>0</v>
      </c>
      <c r="AG43" s="70">
        <f t="shared" si="9"/>
        <v>0</v>
      </c>
      <c r="AH43" s="70">
        <f t="shared" si="10"/>
        <v>0</v>
      </c>
      <c r="AI43" s="67" t="s">
        <v>144</v>
      </c>
      <c r="AJ43" s="70">
        <f t="shared" si="11"/>
        <v>0</v>
      </c>
      <c r="AK43" s="70">
        <f t="shared" si="12"/>
        <v>0</v>
      </c>
      <c r="AL43" s="70">
        <f t="shared" si="13"/>
        <v>0</v>
      </c>
      <c r="AN43" s="70">
        <v>21</v>
      </c>
      <c r="AO43" s="70">
        <f>H43*0.00209956662062077</f>
        <v>0</v>
      </c>
      <c r="AP43" s="70">
        <f>H43*(1-0.00209956662062077)</f>
        <v>0</v>
      </c>
      <c r="AQ43" s="71" t="s">
        <v>106</v>
      </c>
      <c r="AV43" s="70">
        <f t="shared" si="14"/>
        <v>0</v>
      </c>
      <c r="AW43" s="70">
        <f t="shared" si="15"/>
        <v>0</v>
      </c>
      <c r="AX43" s="70">
        <f t="shared" si="16"/>
        <v>0</v>
      </c>
      <c r="AY43" s="71" t="s">
        <v>439</v>
      </c>
      <c r="AZ43" s="71" t="s">
        <v>148</v>
      </c>
      <c r="BA43" s="67" t="s">
        <v>149</v>
      </c>
      <c r="BC43" s="70">
        <f t="shared" si="17"/>
        <v>0</v>
      </c>
      <c r="BD43" s="70">
        <f t="shared" si="18"/>
        <v>0</v>
      </c>
      <c r="BE43" s="70">
        <v>0</v>
      </c>
      <c r="BF43" s="70">
        <f>43</f>
        <v>43</v>
      </c>
      <c r="BH43" s="70">
        <f t="shared" si="19"/>
        <v>0</v>
      </c>
      <c r="BI43" s="70">
        <f t="shared" si="20"/>
        <v>0</v>
      </c>
      <c r="BJ43" s="70">
        <f t="shared" si="21"/>
        <v>0</v>
      </c>
    </row>
    <row r="44" spans="1:62" ht="15">
      <c r="A44" s="589" t="s">
        <v>169</v>
      </c>
      <c r="B44" s="589" t="s">
        <v>986</v>
      </c>
      <c r="C44" s="696" t="s">
        <v>987</v>
      </c>
      <c r="D44" s="693"/>
      <c r="E44" s="693"/>
      <c r="F44" s="589" t="s">
        <v>674</v>
      </c>
      <c r="G44" s="70">
        <v>12</v>
      </c>
      <c r="H44" s="580">
        <v>0</v>
      </c>
      <c r="I44" s="70">
        <f t="shared" si="0"/>
        <v>0</v>
      </c>
      <c r="J44" s="70">
        <f t="shared" si="1"/>
        <v>0</v>
      </c>
      <c r="K44" s="70">
        <f t="shared" si="2"/>
        <v>0</v>
      </c>
      <c r="L44" s="71" t="s">
        <v>120</v>
      </c>
      <c r="Z44" s="70">
        <f t="shared" si="3"/>
        <v>0</v>
      </c>
      <c r="AB44" s="70">
        <f t="shared" si="4"/>
        <v>0</v>
      </c>
      <c r="AC44" s="70">
        <f t="shared" si="5"/>
        <v>0</v>
      </c>
      <c r="AD44" s="70">
        <f t="shared" si="6"/>
        <v>0</v>
      </c>
      <c r="AE44" s="70">
        <f t="shared" si="7"/>
        <v>0</v>
      </c>
      <c r="AF44" s="70">
        <f t="shared" si="8"/>
        <v>0</v>
      </c>
      <c r="AG44" s="70">
        <f t="shared" si="9"/>
        <v>0</v>
      </c>
      <c r="AH44" s="70">
        <f t="shared" si="10"/>
        <v>0</v>
      </c>
      <c r="AI44" s="67" t="s">
        <v>144</v>
      </c>
      <c r="AJ44" s="70">
        <f t="shared" si="11"/>
        <v>0</v>
      </c>
      <c r="AK44" s="70">
        <f t="shared" si="12"/>
        <v>0</v>
      </c>
      <c r="AL44" s="70">
        <f t="shared" si="13"/>
        <v>0</v>
      </c>
      <c r="AN44" s="70">
        <v>21</v>
      </c>
      <c r="AO44" s="70">
        <f>H44*0.00246</f>
        <v>0</v>
      </c>
      <c r="AP44" s="70">
        <f>H44*(1-0.00246)</f>
        <v>0</v>
      </c>
      <c r="AQ44" s="71" t="s">
        <v>106</v>
      </c>
      <c r="AV44" s="70">
        <f t="shared" si="14"/>
        <v>0</v>
      </c>
      <c r="AW44" s="70">
        <f t="shared" si="15"/>
        <v>0</v>
      </c>
      <c r="AX44" s="70">
        <f t="shared" si="16"/>
        <v>0</v>
      </c>
      <c r="AY44" s="71" t="s">
        <v>439</v>
      </c>
      <c r="AZ44" s="71" t="s">
        <v>148</v>
      </c>
      <c r="BA44" s="67" t="s">
        <v>149</v>
      </c>
      <c r="BC44" s="70">
        <f t="shared" si="17"/>
        <v>0</v>
      </c>
      <c r="BD44" s="70">
        <f t="shared" si="18"/>
        <v>0</v>
      </c>
      <c r="BE44" s="70">
        <v>0</v>
      </c>
      <c r="BF44" s="70">
        <f>44</f>
        <v>44</v>
      </c>
      <c r="BH44" s="70">
        <f t="shared" si="19"/>
        <v>0</v>
      </c>
      <c r="BI44" s="70">
        <f t="shared" si="20"/>
        <v>0</v>
      </c>
      <c r="BJ44" s="70">
        <f t="shared" si="21"/>
        <v>0</v>
      </c>
    </row>
    <row r="45" spans="1:62" ht="15">
      <c r="A45" s="589" t="s">
        <v>172</v>
      </c>
      <c r="B45" s="589" t="s">
        <v>988</v>
      </c>
      <c r="C45" s="696" t="s">
        <v>989</v>
      </c>
      <c r="D45" s="693"/>
      <c r="E45" s="693"/>
      <c r="F45" s="589" t="s">
        <v>674</v>
      </c>
      <c r="G45" s="70">
        <v>8</v>
      </c>
      <c r="H45" s="580">
        <v>0</v>
      </c>
      <c r="I45" s="70">
        <f t="shared" si="0"/>
        <v>0</v>
      </c>
      <c r="J45" s="70">
        <f t="shared" si="1"/>
        <v>0</v>
      </c>
      <c r="K45" s="70">
        <f t="shared" si="2"/>
        <v>0</v>
      </c>
      <c r="L45" s="71" t="s">
        <v>120</v>
      </c>
      <c r="Z45" s="70">
        <f t="shared" si="3"/>
        <v>0</v>
      </c>
      <c r="AB45" s="70">
        <f t="shared" si="4"/>
        <v>0</v>
      </c>
      <c r="AC45" s="70">
        <f t="shared" si="5"/>
        <v>0</v>
      </c>
      <c r="AD45" s="70">
        <f t="shared" si="6"/>
        <v>0</v>
      </c>
      <c r="AE45" s="70">
        <f t="shared" si="7"/>
        <v>0</v>
      </c>
      <c r="AF45" s="70">
        <f t="shared" si="8"/>
        <v>0</v>
      </c>
      <c r="AG45" s="70">
        <f t="shared" si="9"/>
        <v>0</v>
      </c>
      <c r="AH45" s="70">
        <f t="shared" si="10"/>
        <v>0</v>
      </c>
      <c r="AI45" s="67" t="s">
        <v>144</v>
      </c>
      <c r="AJ45" s="70">
        <f t="shared" si="11"/>
        <v>0</v>
      </c>
      <c r="AK45" s="70">
        <f t="shared" si="12"/>
        <v>0</v>
      </c>
      <c r="AL45" s="70">
        <f t="shared" si="13"/>
        <v>0</v>
      </c>
      <c r="AN45" s="70">
        <v>21</v>
      </c>
      <c r="AO45" s="70">
        <f>H45*0.00356005788712012</f>
        <v>0</v>
      </c>
      <c r="AP45" s="70">
        <f>H45*(1-0.00356005788712012)</f>
        <v>0</v>
      </c>
      <c r="AQ45" s="71" t="s">
        <v>106</v>
      </c>
      <c r="AV45" s="70">
        <f t="shared" si="14"/>
        <v>0</v>
      </c>
      <c r="AW45" s="70">
        <f t="shared" si="15"/>
        <v>0</v>
      </c>
      <c r="AX45" s="70">
        <f t="shared" si="16"/>
        <v>0</v>
      </c>
      <c r="AY45" s="71" t="s">
        <v>439</v>
      </c>
      <c r="AZ45" s="71" t="s">
        <v>148</v>
      </c>
      <c r="BA45" s="67" t="s">
        <v>149</v>
      </c>
      <c r="BC45" s="70">
        <f t="shared" si="17"/>
        <v>0</v>
      </c>
      <c r="BD45" s="70">
        <f t="shared" si="18"/>
        <v>0</v>
      </c>
      <c r="BE45" s="70">
        <v>0</v>
      </c>
      <c r="BF45" s="70">
        <f>45</f>
        <v>45</v>
      </c>
      <c r="BH45" s="70">
        <f t="shared" si="19"/>
        <v>0</v>
      </c>
      <c r="BI45" s="70">
        <f t="shared" si="20"/>
        <v>0</v>
      </c>
      <c r="BJ45" s="70">
        <f t="shared" si="21"/>
        <v>0</v>
      </c>
    </row>
    <row r="46" spans="1:62" ht="15">
      <c r="A46" s="589" t="s">
        <v>177</v>
      </c>
      <c r="B46" s="589" t="s">
        <v>990</v>
      </c>
      <c r="C46" s="696" t="s">
        <v>991</v>
      </c>
      <c r="D46" s="693"/>
      <c r="E46" s="693"/>
      <c r="F46" s="589" t="s">
        <v>674</v>
      </c>
      <c r="G46" s="70">
        <v>22</v>
      </c>
      <c r="H46" s="580">
        <v>0</v>
      </c>
      <c r="I46" s="70">
        <f t="shared" si="0"/>
        <v>0</v>
      </c>
      <c r="J46" s="70">
        <f t="shared" si="1"/>
        <v>0</v>
      </c>
      <c r="K46" s="70">
        <f t="shared" si="2"/>
        <v>0</v>
      </c>
      <c r="L46" s="71" t="s">
        <v>120</v>
      </c>
      <c r="Z46" s="70">
        <f t="shared" si="3"/>
        <v>0</v>
      </c>
      <c r="AB46" s="70">
        <f t="shared" si="4"/>
        <v>0</v>
      </c>
      <c r="AC46" s="70">
        <f t="shared" si="5"/>
        <v>0</v>
      </c>
      <c r="AD46" s="70">
        <f t="shared" si="6"/>
        <v>0</v>
      </c>
      <c r="AE46" s="70">
        <f t="shared" si="7"/>
        <v>0</v>
      </c>
      <c r="AF46" s="70">
        <f t="shared" si="8"/>
        <v>0</v>
      </c>
      <c r="AG46" s="70">
        <f t="shared" si="9"/>
        <v>0</v>
      </c>
      <c r="AH46" s="70">
        <f t="shared" si="10"/>
        <v>0</v>
      </c>
      <c r="AI46" s="67" t="s">
        <v>144</v>
      </c>
      <c r="AJ46" s="70">
        <f t="shared" si="11"/>
        <v>0</v>
      </c>
      <c r="AK46" s="70">
        <f t="shared" si="12"/>
        <v>0</v>
      </c>
      <c r="AL46" s="70">
        <f t="shared" si="13"/>
        <v>0</v>
      </c>
      <c r="AN46" s="70">
        <v>21</v>
      </c>
      <c r="AO46" s="70">
        <f>H46*0.400938123752495</f>
        <v>0</v>
      </c>
      <c r="AP46" s="70">
        <f>H46*(1-0.400938123752495)</f>
        <v>0</v>
      </c>
      <c r="AQ46" s="71" t="s">
        <v>106</v>
      </c>
      <c r="AV46" s="70">
        <f t="shared" si="14"/>
        <v>0</v>
      </c>
      <c r="AW46" s="70">
        <f t="shared" si="15"/>
        <v>0</v>
      </c>
      <c r="AX46" s="70">
        <f t="shared" si="16"/>
        <v>0</v>
      </c>
      <c r="AY46" s="71" t="s">
        <v>439</v>
      </c>
      <c r="AZ46" s="71" t="s">
        <v>148</v>
      </c>
      <c r="BA46" s="67" t="s">
        <v>149</v>
      </c>
      <c r="BC46" s="70">
        <f t="shared" si="17"/>
        <v>0</v>
      </c>
      <c r="BD46" s="70">
        <f t="shared" si="18"/>
        <v>0</v>
      </c>
      <c r="BE46" s="70">
        <v>0</v>
      </c>
      <c r="BF46" s="70">
        <f>46</f>
        <v>46</v>
      </c>
      <c r="BH46" s="70">
        <f t="shared" si="19"/>
        <v>0</v>
      </c>
      <c r="BI46" s="70">
        <f t="shared" si="20"/>
        <v>0</v>
      </c>
      <c r="BJ46" s="70">
        <f t="shared" si="21"/>
        <v>0</v>
      </c>
    </row>
    <row r="47" spans="1:62" ht="15">
      <c r="A47" s="589" t="s">
        <v>180</v>
      </c>
      <c r="B47" s="589" t="s">
        <v>992</v>
      </c>
      <c r="C47" s="696" t="s">
        <v>993</v>
      </c>
      <c r="D47" s="693"/>
      <c r="E47" s="693"/>
      <c r="F47" s="589" t="s">
        <v>306</v>
      </c>
      <c r="G47" s="70">
        <v>22</v>
      </c>
      <c r="H47" s="580">
        <v>0</v>
      </c>
      <c r="I47" s="70">
        <f t="shared" si="0"/>
        <v>0</v>
      </c>
      <c r="J47" s="70">
        <f t="shared" si="1"/>
        <v>0</v>
      </c>
      <c r="K47" s="70">
        <f t="shared" si="2"/>
        <v>0</v>
      </c>
      <c r="L47" s="71"/>
      <c r="Z47" s="70">
        <f t="shared" si="3"/>
        <v>0</v>
      </c>
      <c r="AB47" s="70">
        <f t="shared" si="4"/>
        <v>0</v>
      </c>
      <c r="AC47" s="70">
        <f t="shared" si="5"/>
        <v>0</v>
      </c>
      <c r="AD47" s="70">
        <f t="shared" si="6"/>
        <v>0</v>
      </c>
      <c r="AE47" s="70">
        <f t="shared" si="7"/>
        <v>0</v>
      </c>
      <c r="AF47" s="70">
        <f t="shared" si="8"/>
        <v>0</v>
      </c>
      <c r="AG47" s="70">
        <f t="shared" si="9"/>
        <v>0</v>
      </c>
      <c r="AH47" s="70">
        <f t="shared" si="10"/>
        <v>0</v>
      </c>
      <c r="AI47" s="67" t="s">
        <v>144</v>
      </c>
      <c r="AJ47" s="70">
        <f t="shared" si="11"/>
        <v>0</v>
      </c>
      <c r="AK47" s="70">
        <f t="shared" si="12"/>
        <v>0</v>
      </c>
      <c r="AL47" s="70">
        <f t="shared" si="13"/>
        <v>0</v>
      </c>
      <c r="AN47" s="70">
        <v>21</v>
      </c>
      <c r="AO47" s="70">
        <f>H47*0</f>
        <v>0</v>
      </c>
      <c r="AP47" s="70">
        <f>H47*(1-0)</f>
        <v>0</v>
      </c>
      <c r="AQ47" s="71" t="s">
        <v>106</v>
      </c>
      <c r="AV47" s="70">
        <f t="shared" si="14"/>
        <v>0</v>
      </c>
      <c r="AW47" s="70">
        <f t="shared" si="15"/>
        <v>0</v>
      </c>
      <c r="AX47" s="70">
        <f t="shared" si="16"/>
        <v>0</v>
      </c>
      <c r="AY47" s="71" t="s">
        <v>439</v>
      </c>
      <c r="AZ47" s="71" t="s">
        <v>148</v>
      </c>
      <c r="BA47" s="67" t="s">
        <v>149</v>
      </c>
      <c r="BC47" s="70">
        <f t="shared" si="17"/>
        <v>0</v>
      </c>
      <c r="BD47" s="70">
        <f t="shared" si="18"/>
        <v>0</v>
      </c>
      <c r="BE47" s="70">
        <v>0</v>
      </c>
      <c r="BF47" s="70">
        <f>47</f>
        <v>47</v>
      </c>
      <c r="BH47" s="70">
        <f t="shared" si="19"/>
        <v>0</v>
      </c>
      <c r="BI47" s="70">
        <f t="shared" si="20"/>
        <v>0</v>
      </c>
      <c r="BJ47" s="70">
        <f t="shared" si="21"/>
        <v>0</v>
      </c>
    </row>
    <row r="48" spans="1:62" ht="15">
      <c r="A48" s="589" t="s">
        <v>183</v>
      </c>
      <c r="B48" s="589" t="s">
        <v>994</v>
      </c>
      <c r="C48" s="696" t="s">
        <v>995</v>
      </c>
      <c r="D48" s="693"/>
      <c r="E48" s="693"/>
      <c r="F48" s="589" t="s">
        <v>253</v>
      </c>
      <c r="G48" s="70">
        <v>2.2</v>
      </c>
      <c r="H48" s="580">
        <v>0</v>
      </c>
      <c r="I48" s="70">
        <f t="shared" si="0"/>
        <v>0</v>
      </c>
      <c r="J48" s="70">
        <f t="shared" si="1"/>
        <v>0</v>
      </c>
      <c r="K48" s="70">
        <f t="shared" si="2"/>
        <v>0</v>
      </c>
      <c r="L48" s="71" t="s">
        <v>996</v>
      </c>
      <c r="Z48" s="70">
        <f t="shared" si="3"/>
        <v>0</v>
      </c>
      <c r="AB48" s="70">
        <f t="shared" si="4"/>
        <v>0</v>
      </c>
      <c r="AC48" s="70">
        <f t="shared" si="5"/>
        <v>0</v>
      </c>
      <c r="AD48" s="70">
        <f t="shared" si="6"/>
        <v>0</v>
      </c>
      <c r="AE48" s="70">
        <f t="shared" si="7"/>
        <v>0</v>
      </c>
      <c r="AF48" s="70">
        <f t="shared" si="8"/>
        <v>0</v>
      </c>
      <c r="AG48" s="70">
        <f t="shared" si="9"/>
        <v>0</v>
      </c>
      <c r="AH48" s="70">
        <f t="shared" si="10"/>
        <v>0</v>
      </c>
      <c r="AI48" s="67" t="s">
        <v>144</v>
      </c>
      <c r="AJ48" s="70">
        <f t="shared" si="11"/>
        <v>0</v>
      </c>
      <c r="AK48" s="70">
        <f t="shared" si="12"/>
        <v>0</v>
      </c>
      <c r="AL48" s="70">
        <f t="shared" si="13"/>
        <v>0</v>
      </c>
      <c r="AN48" s="70">
        <v>21</v>
      </c>
      <c r="AO48" s="70">
        <f>H48*0</f>
        <v>0</v>
      </c>
      <c r="AP48" s="70">
        <f>H48*(1-0)</f>
        <v>0</v>
      </c>
      <c r="AQ48" s="71" t="s">
        <v>106</v>
      </c>
      <c r="AV48" s="70">
        <f t="shared" si="14"/>
        <v>0</v>
      </c>
      <c r="AW48" s="70">
        <f t="shared" si="15"/>
        <v>0</v>
      </c>
      <c r="AX48" s="70">
        <f t="shared" si="16"/>
        <v>0</v>
      </c>
      <c r="AY48" s="71" t="s">
        <v>439</v>
      </c>
      <c r="AZ48" s="71" t="s">
        <v>148</v>
      </c>
      <c r="BA48" s="67" t="s">
        <v>149</v>
      </c>
      <c r="BC48" s="70">
        <f t="shared" si="17"/>
        <v>0</v>
      </c>
      <c r="BD48" s="70">
        <f t="shared" si="18"/>
        <v>0</v>
      </c>
      <c r="BE48" s="70">
        <v>0</v>
      </c>
      <c r="BF48" s="70">
        <f>48</f>
        <v>48</v>
      </c>
      <c r="BH48" s="70">
        <f t="shared" si="19"/>
        <v>0</v>
      </c>
      <c r="BI48" s="70">
        <f t="shared" si="20"/>
        <v>0</v>
      </c>
      <c r="BJ48" s="70">
        <f t="shared" si="21"/>
        <v>0</v>
      </c>
    </row>
    <row r="49" spans="1:47" ht="15">
      <c r="A49" s="88"/>
      <c r="B49" s="591" t="s">
        <v>314</v>
      </c>
      <c r="C49" s="710" t="s">
        <v>327</v>
      </c>
      <c r="D49" s="711"/>
      <c r="E49" s="711"/>
      <c r="F49" s="88" t="s">
        <v>70</v>
      </c>
      <c r="G49" s="88" t="s">
        <v>70</v>
      </c>
      <c r="H49" s="624" t="s">
        <v>70</v>
      </c>
      <c r="I49" s="90">
        <f>SUM(I50:I50)</f>
        <v>0</v>
      </c>
      <c r="J49" s="90">
        <f>SUM(J50:J50)</f>
        <v>0</v>
      </c>
      <c r="K49" s="90">
        <f>SUM(K50:K50)</f>
        <v>0</v>
      </c>
      <c r="L49" s="91"/>
      <c r="AI49" s="67" t="s">
        <v>144</v>
      </c>
      <c r="AS49" s="68">
        <f>SUM(AJ50:AJ50)</f>
        <v>0</v>
      </c>
      <c r="AT49" s="68">
        <f>SUM(AK50:AK50)</f>
        <v>0</v>
      </c>
      <c r="AU49" s="68">
        <f>SUM(AL50:AL50)</f>
        <v>0</v>
      </c>
    </row>
    <row r="50" spans="1:62" ht="15">
      <c r="A50" s="589" t="s">
        <v>188</v>
      </c>
      <c r="B50" s="589" t="s">
        <v>335</v>
      </c>
      <c r="C50" s="696" t="s">
        <v>997</v>
      </c>
      <c r="D50" s="693"/>
      <c r="E50" s="693"/>
      <c r="F50" s="589" t="s">
        <v>337</v>
      </c>
      <c r="G50" s="70">
        <v>270</v>
      </c>
      <c r="H50" s="580">
        <v>0</v>
      </c>
      <c r="I50" s="70">
        <f>G50*AO50</f>
        <v>0</v>
      </c>
      <c r="J50" s="70">
        <f>G50*AP50</f>
        <v>0</v>
      </c>
      <c r="K50" s="70">
        <f>G50*H50</f>
        <v>0</v>
      </c>
      <c r="L50" s="71"/>
      <c r="Z50" s="70">
        <f>IF(AQ50="5",BJ50,0)</f>
        <v>0</v>
      </c>
      <c r="AB50" s="70">
        <f>IF(AQ50="1",BH50,0)</f>
        <v>0</v>
      </c>
      <c r="AC50" s="70">
        <f>IF(AQ50="1",BI50,0)</f>
        <v>0</v>
      </c>
      <c r="AD50" s="70">
        <f>IF(AQ50="7",BH50,0)</f>
        <v>0</v>
      </c>
      <c r="AE50" s="70">
        <f>IF(AQ50="7",BI50,0)</f>
        <v>0</v>
      </c>
      <c r="AF50" s="70">
        <f>IF(AQ50="2",BH50,0)</f>
        <v>0</v>
      </c>
      <c r="AG50" s="70">
        <f>IF(AQ50="2",BI50,0)</f>
        <v>0</v>
      </c>
      <c r="AH50" s="70">
        <f>IF(AQ50="0",BJ50,0)</f>
        <v>0</v>
      </c>
      <c r="AI50" s="67" t="s">
        <v>144</v>
      </c>
      <c r="AJ50" s="70">
        <f>IF(AN50=0,K50,0)</f>
        <v>0</v>
      </c>
      <c r="AK50" s="70">
        <f>IF(AN50=15,K50,0)</f>
        <v>0</v>
      </c>
      <c r="AL50" s="70">
        <f>IF(AN50=21,K50,0)</f>
        <v>0</v>
      </c>
      <c r="AN50" s="70">
        <v>21</v>
      </c>
      <c r="AO50" s="70">
        <f>H50*0</f>
        <v>0</v>
      </c>
      <c r="AP50" s="70">
        <f>H50*(1-0)</f>
        <v>0</v>
      </c>
      <c r="AQ50" s="71" t="s">
        <v>124</v>
      </c>
      <c r="AV50" s="70">
        <f>AW50+AX50</f>
        <v>0</v>
      </c>
      <c r="AW50" s="70">
        <f>G50*AO50</f>
        <v>0</v>
      </c>
      <c r="AX50" s="70">
        <f>G50*AP50</f>
        <v>0</v>
      </c>
      <c r="AY50" s="71" t="s">
        <v>331</v>
      </c>
      <c r="AZ50" s="71" t="s">
        <v>998</v>
      </c>
      <c r="BA50" s="67" t="s">
        <v>149</v>
      </c>
      <c r="BC50" s="70">
        <f>AW50+AX50</f>
        <v>0</v>
      </c>
      <c r="BD50" s="70">
        <f>H50/(100-BE50)*100</f>
        <v>0</v>
      </c>
      <c r="BE50" s="70">
        <v>0</v>
      </c>
      <c r="BF50" s="70">
        <f>50</f>
        <v>50</v>
      </c>
      <c r="BH50" s="70">
        <f>G50*AO50</f>
        <v>0</v>
      </c>
      <c r="BI50" s="70">
        <f>G50*AP50</f>
        <v>0</v>
      </c>
      <c r="BJ50" s="70">
        <f>G50*H50</f>
        <v>0</v>
      </c>
    </row>
    <row r="51" spans="2:12" ht="38.7" customHeight="1">
      <c r="B51" s="75" t="s">
        <v>67</v>
      </c>
      <c r="C51" s="725" t="s">
        <v>999</v>
      </c>
      <c r="D51" s="726"/>
      <c r="E51" s="726"/>
      <c r="F51" s="726"/>
      <c r="G51" s="726"/>
      <c r="H51" s="726"/>
      <c r="I51" s="726"/>
      <c r="J51" s="726"/>
      <c r="K51" s="726"/>
      <c r="L51" s="726"/>
    </row>
    <row r="52" spans="1:47" ht="15">
      <c r="A52" s="88"/>
      <c r="B52" s="591" t="s">
        <v>345</v>
      </c>
      <c r="C52" s="710" t="s">
        <v>346</v>
      </c>
      <c r="D52" s="711"/>
      <c r="E52" s="711"/>
      <c r="F52" s="88" t="s">
        <v>70</v>
      </c>
      <c r="G52" s="88" t="s">
        <v>70</v>
      </c>
      <c r="H52" s="624" t="s">
        <v>70</v>
      </c>
      <c r="I52" s="90">
        <f>SUM(I53:I53)</f>
        <v>0</v>
      </c>
      <c r="J52" s="90">
        <f>SUM(J53:J53)</f>
        <v>0</v>
      </c>
      <c r="K52" s="90">
        <f>SUM(K53:K53)</f>
        <v>0</v>
      </c>
      <c r="L52" s="91"/>
      <c r="AI52" s="67" t="s">
        <v>144</v>
      </c>
      <c r="AS52" s="68">
        <f>SUM(AJ53:AJ53)</f>
        <v>0</v>
      </c>
      <c r="AT52" s="68">
        <f>SUM(AK53:AK53)</f>
        <v>0</v>
      </c>
      <c r="AU52" s="68">
        <f>SUM(AL53:AL53)</f>
        <v>0</v>
      </c>
    </row>
    <row r="53" spans="1:62" ht="15">
      <c r="A53" s="589" t="s">
        <v>190</v>
      </c>
      <c r="B53" s="589" t="s">
        <v>684</v>
      </c>
      <c r="C53" s="696" t="s">
        <v>685</v>
      </c>
      <c r="D53" s="693"/>
      <c r="E53" s="693"/>
      <c r="F53" s="589" t="s">
        <v>132</v>
      </c>
      <c r="G53" s="70">
        <v>24.2</v>
      </c>
      <c r="H53" s="580">
        <v>0</v>
      </c>
      <c r="I53" s="70">
        <f>G53*AO53</f>
        <v>0</v>
      </c>
      <c r="J53" s="70">
        <f>G53*AP53</f>
        <v>0</v>
      </c>
      <c r="K53" s="70">
        <f>G53*H53</f>
        <v>0</v>
      </c>
      <c r="L53" s="71" t="s">
        <v>120</v>
      </c>
      <c r="Z53" s="70">
        <f>IF(AQ53="5",BJ53,0)</f>
        <v>0</v>
      </c>
      <c r="AB53" s="70">
        <f>IF(AQ53="1",BH53,0)</f>
        <v>0</v>
      </c>
      <c r="AC53" s="70">
        <f>IF(AQ53="1",BI53,0)</f>
        <v>0</v>
      </c>
      <c r="AD53" s="70">
        <f>IF(AQ53="7",BH53,0)</f>
        <v>0</v>
      </c>
      <c r="AE53" s="70">
        <f>IF(AQ53="7",BI53,0)</f>
        <v>0</v>
      </c>
      <c r="AF53" s="70">
        <f>IF(AQ53="2",BH53,0)</f>
        <v>0</v>
      </c>
      <c r="AG53" s="70">
        <f>IF(AQ53="2",BI53,0)</f>
        <v>0</v>
      </c>
      <c r="AH53" s="70">
        <f>IF(AQ53="0",BJ53,0)</f>
        <v>0</v>
      </c>
      <c r="AI53" s="67" t="s">
        <v>144</v>
      </c>
      <c r="AJ53" s="70">
        <f>IF(AN53=0,K53,0)</f>
        <v>0</v>
      </c>
      <c r="AK53" s="70">
        <f>IF(AN53=15,K53,0)</f>
        <v>0</v>
      </c>
      <c r="AL53" s="70">
        <f>IF(AN53=21,K53,0)</f>
        <v>0</v>
      </c>
      <c r="AN53" s="70">
        <v>21</v>
      </c>
      <c r="AO53" s="70">
        <f>H53*0</f>
        <v>0</v>
      </c>
      <c r="AP53" s="70">
        <f>H53*(1-0)</f>
        <v>0</v>
      </c>
      <c r="AQ53" s="71" t="s">
        <v>124</v>
      </c>
      <c r="AV53" s="70">
        <f>AW53+AX53</f>
        <v>0</v>
      </c>
      <c r="AW53" s="70">
        <f>G53*AO53</f>
        <v>0</v>
      </c>
      <c r="AX53" s="70">
        <f>G53*AP53</f>
        <v>0</v>
      </c>
      <c r="AY53" s="71" t="s">
        <v>350</v>
      </c>
      <c r="AZ53" s="71" t="s">
        <v>153</v>
      </c>
      <c r="BA53" s="67" t="s">
        <v>149</v>
      </c>
      <c r="BC53" s="70">
        <f>AW53+AX53</f>
        <v>0</v>
      </c>
      <c r="BD53" s="70">
        <f>H53/(100-BE53)*100</f>
        <v>0</v>
      </c>
      <c r="BE53" s="70">
        <v>0</v>
      </c>
      <c r="BF53" s="70">
        <f>53</f>
        <v>53</v>
      </c>
      <c r="BH53" s="70">
        <f>G53*AO53</f>
        <v>0</v>
      </c>
      <c r="BI53" s="70">
        <f>G53*AP53</f>
        <v>0</v>
      </c>
      <c r="BJ53" s="70">
        <f>G53*H53</f>
        <v>0</v>
      </c>
    </row>
    <row r="54" spans="1:47" ht="15">
      <c r="A54" s="88"/>
      <c r="B54" s="591"/>
      <c r="C54" s="710" t="s">
        <v>52</v>
      </c>
      <c r="D54" s="711"/>
      <c r="E54" s="711"/>
      <c r="F54" s="88" t="s">
        <v>70</v>
      </c>
      <c r="G54" s="88" t="s">
        <v>70</v>
      </c>
      <c r="H54" s="624" t="s">
        <v>70</v>
      </c>
      <c r="I54" s="90">
        <f>SUM(I55:I64)</f>
        <v>0</v>
      </c>
      <c r="J54" s="90">
        <f>SUM(J55:J64)</f>
        <v>0</v>
      </c>
      <c r="K54" s="90">
        <f>SUM(K55:K64)</f>
        <v>0</v>
      </c>
      <c r="L54" s="91"/>
      <c r="AI54" s="67" t="s">
        <v>144</v>
      </c>
      <c r="AS54" s="68">
        <f>SUM(AJ55:AJ64)</f>
        <v>0</v>
      </c>
      <c r="AT54" s="68">
        <f>SUM(AK55:AK64)</f>
        <v>0</v>
      </c>
      <c r="AU54" s="68">
        <f>SUM(AL55:AL64)</f>
        <v>0</v>
      </c>
    </row>
    <row r="55" spans="1:62" ht="15">
      <c r="A55" s="589" t="s">
        <v>193</v>
      </c>
      <c r="B55" s="589" t="s">
        <v>1000</v>
      </c>
      <c r="C55" s="696" t="s">
        <v>1001</v>
      </c>
      <c r="D55" s="693"/>
      <c r="E55" s="693"/>
      <c r="F55" s="589" t="s">
        <v>674</v>
      </c>
      <c r="G55" s="70">
        <v>22</v>
      </c>
      <c r="H55" s="580">
        <v>0</v>
      </c>
      <c r="I55" s="70">
        <f aca="true" t="shared" si="22" ref="I55:I61">G55*AO55</f>
        <v>0</v>
      </c>
      <c r="J55" s="70">
        <f aca="true" t="shared" si="23" ref="J55:J61">G55*AP55</f>
        <v>0</v>
      </c>
      <c r="K55" s="70">
        <f aca="true" t="shared" si="24" ref="K55:K61">G55*H55</f>
        <v>0</v>
      </c>
      <c r="L55" s="71" t="s">
        <v>120</v>
      </c>
      <c r="Z55" s="70">
        <f aca="true" t="shared" si="25" ref="Z55:Z61">IF(AQ55="5",BJ55,0)</f>
        <v>0</v>
      </c>
      <c r="AB55" s="70">
        <f aca="true" t="shared" si="26" ref="AB55:AB61">IF(AQ55="1",BH55,0)</f>
        <v>0</v>
      </c>
      <c r="AC55" s="70">
        <f aca="true" t="shared" si="27" ref="AC55:AC61">IF(AQ55="1",BI55,0)</f>
        <v>0</v>
      </c>
      <c r="AD55" s="70">
        <f aca="true" t="shared" si="28" ref="AD55:AD61">IF(AQ55="7",BH55,0)</f>
        <v>0</v>
      </c>
      <c r="AE55" s="70">
        <f aca="true" t="shared" si="29" ref="AE55:AE61">IF(AQ55="7",BI55,0)</f>
        <v>0</v>
      </c>
      <c r="AF55" s="70">
        <f aca="true" t="shared" si="30" ref="AF55:AF61">IF(AQ55="2",BH55,0)</f>
        <v>0</v>
      </c>
      <c r="AG55" s="70">
        <f aca="true" t="shared" si="31" ref="AG55:AG61">IF(AQ55="2",BI55,0)</f>
        <v>0</v>
      </c>
      <c r="AH55" s="70">
        <f aca="true" t="shared" si="32" ref="AH55:AH61">IF(AQ55="0",BJ55,0)</f>
        <v>0</v>
      </c>
      <c r="AI55" s="67" t="s">
        <v>144</v>
      </c>
      <c r="AJ55" s="70">
        <f aca="true" t="shared" si="33" ref="AJ55:AJ61">IF(AN55=0,K55,0)</f>
        <v>0</v>
      </c>
      <c r="AK55" s="70">
        <f aca="true" t="shared" si="34" ref="AK55:AK61">IF(AN55=15,K55,0)</f>
        <v>0</v>
      </c>
      <c r="AL55" s="70">
        <f aca="true" t="shared" si="35" ref="AL55:AL61">IF(AN55=21,K55,0)</f>
        <v>0</v>
      </c>
      <c r="AN55" s="70">
        <v>21</v>
      </c>
      <c r="AO55" s="70">
        <f aca="true" t="shared" si="36" ref="AO55:AO61">H55*1</f>
        <v>0</v>
      </c>
      <c r="AP55" s="70">
        <f aca="true" t="shared" si="37" ref="AP55:AP61">H55*(1-1)</f>
        <v>0</v>
      </c>
      <c r="AQ55" s="71" t="s">
        <v>355</v>
      </c>
      <c r="AV55" s="70">
        <f aca="true" t="shared" si="38" ref="AV55:AV61">AW55+AX55</f>
        <v>0</v>
      </c>
      <c r="AW55" s="70">
        <f aca="true" t="shared" si="39" ref="AW55:AW61">G55*AO55</f>
        <v>0</v>
      </c>
      <c r="AX55" s="70">
        <f aca="true" t="shared" si="40" ref="AX55:AX61">G55*AP55</f>
        <v>0</v>
      </c>
      <c r="AY55" s="71" t="s">
        <v>356</v>
      </c>
      <c r="AZ55" s="71" t="s">
        <v>1002</v>
      </c>
      <c r="BA55" s="67" t="s">
        <v>149</v>
      </c>
      <c r="BC55" s="70">
        <f aca="true" t="shared" si="41" ref="BC55:BC61">AW55+AX55</f>
        <v>0</v>
      </c>
      <c r="BD55" s="70">
        <f aca="true" t="shared" si="42" ref="BD55:BD61">H55/(100-BE55)*100</f>
        <v>0</v>
      </c>
      <c r="BE55" s="70">
        <v>0</v>
      </c>
      <c r="BF55" s="70">
        <f>55</f>
        <v>55</v>
      </c>
      <c r="BH55" s="70">
        <f aca="true" t="shared" si="43" ref="BH55:BH61">G55*AO55</f>
        <v>0</v>
      </c>
      <c r="BI55" s="70">
        <f aca="true" t="shared" si="44" ref="BI55:BI61">G55*AP55</f>
        <v>0</v>
      </c>
      <c r="BJ55" s="70">
        <f aca="true" t="shared" si="45" ref="BJ55:BJ61">G55*H55</f>
        <v>0</v>
      </c>
    </row>
    <row r="56" spans="1:62" ht="15">
      <c r="A56" s="589" t="s">
        <v>198</v>
      </c>
      <c r="B56" s="589" t="s">
        <v>1003</v>
      </c>
      <c r="C56" s="696" t="s">
        <v>1004</v>
      </c>
      <c r="D56" s="693"/>
      <c r="E56" s="693"/>
      <c r="F56" s="589" t="s">
        <v>407</v>
      </c>
      <c r="G56" s="70">
        <v>33</v>
      </c>
      <c r="H56" s="580">
        <v>0</v>
      </c>
      <c r="I56" s="70">
        <f t="shared" si="22"/>
        <v>0</v>
      </c>
      <c r="J56" s="70">
        <f t="shared" si="23"/>
        <v>0</v>
      </c>
      <c r="K56" s="70">
        <f t="shared" si="24"/>
        <v>0</v>
      </c>
      <c r="L56" s="71" t="s">
        <v>120</v>
      </c>
      <c r="Z56" s="70">
        <f t="shared" si="25"/>
        <v>0</v>
      </c>
      <c r="AB56" s="70">
        <f t="shared" si="26"/>
        <v>0</v>
      </c>
      <c r="AC56" s="70">
        <f t="shared" si="27"/>
        <v>0</v>
      </c>
      <c r="AD56" s="70">
        <f t="shared" si="28"/>
        <v>0</v>
      </c>
      <c r="AE56" s="70">
        <f t="shared" si="29"/>
        <v>0</v>
      </c>
      <c r="AF56" s="70">
        <f t="shared" si="30"/>
        <v>0</v>
      </c>
      <c r="AG56" s="70">
        <f t="shared" si="31"/>
        <v>0</v>
      </c>
      <c r="AH56" s="70">
        <f t="shared" si="32"/>
        <v>0</v>
      </c>
      <c r="AI56" s="67" t="s">
        <v>144</v>
      </c>
      <c r="AJ56" s="70">
        <f t="shared" si="33"/>
        <v>0</v>
      </c>
      <c r="AK56" s="70">
        <f t="shared" si="34"/>
        <v>0</v>
      </c>
      <c r="AL56" s="70">
        <f t="shared" si="35"/>
        <v>0</v>
      </c>
      <c r="AN56" s="70">
        <v>21</v>
      </c>
      <c r="AO56" s="70">
        <f t="shared" si="36"/>
        <v>0</v>
      </c>
      <c r="AP56" s="70">
        <f t="shared" si="37"/>
        <v>0</v>
      </c>
      <c r="AQ56" s="71" t="s">
        <v>355</v>
      </c>
      <c r="AV56" s="70">
        <f t="shared" si="38"/>
        <v>0</v>
      </c>
      <c r="AW56" s="70">
        <f t="shared" si="39"/>
        <v>0</v>
      </c>
      <c r="AX56" s="70">
        <f t="shared" si="40"/>
        <v>0</v>
      </c>
      <c r="AY56" s="71" t="s">
        <v>356</v>
      </c>
      <c r="AZ56" s="71" t="s">
        <v>1002</v>
      </c>
      <c r="BA56" s="67" t="s">
        <v>149</v>
      </c>
      <c r="BC56" s="70">
        <f t="shared" si="41"/>
        <v>0</v>
      </c>
      <c r="BD56" s="70">
        <f t="shared" si="42"/>
        <v>0</v>
      </c>
      <c r="BE56" s="70">
        <v>0</v>
      </c>
      <c r="BF56" s="70">
        <f>56</f>
        <v>56</v>
      </c>
      <c r="BH56" s="70">
        <f t="shared" si="43"/>
        <v>0</v>
      </c>
      <c r="BI56" s="70">
        <f t="shared" si="44"/>
        <v>0</v>
      </c>
      <c r="BJ56" s="70">
        <f t="shared" si="45"/>
        <v>0</v>
      </c>
    </row>
    <row r="57" spans="1:62" ht="15">
      <c r="A57" s="589" t="s">
        <v>200</v>
      </c>
      <c r="B57" s="589" t="s">
        <v>1005</v>
      </c>
      <c r="C57" s="696" t="s">
        <v>1006</v>
      </c>
      <c r="D57" s="693"/>
      <c r="E57" s="693"/>
      <c r="F57" s="589" t="s">
        <v>306</v>
      </c>
      <c r="G57" s="70">
        <v>2</v>
      </c>
      <c r="H57" s="580">
        <v>0</v>
      </c>
      <c r="I57" s="70">
        <f t="shared" si="22"/>
        <v>0</v>
      </c>
      <c r="J57" s="70">
        <f t="shared" si="23"/>
        <v>0</v>
      </c>
      <c r="K57" s="70">
        <f t="shared" si="24"/>
        <v>0</v>
      </c>
      <c r="L57" s="71"/>
      <c r="Z57" s="70">
        <f t="shared" si="25"/>
        <v>0</v>
      </c>
      <c r="AB57" s="70">
        <f t="shared" si="26"/>
        <v>0</v>
      </c>
      <c r="AC57" s="70">
        <f t="shared" si="27"/>
        <v>0</v>
      </c>
      <c r="AD57" s="70">
        <f t="shared" si="28"/>
        <v>0</v>
      </c>
      <c r="AE57" s="70">
        <f t="shared" si="29"/>
        <v>0</v>
      </c>
      <c r="AF57" s="70">
        <f t="shared" si="30"/>
        <v>0</v>
      </c>
      <c r="AG57" s="70">
        <f t="shared" si="31"/>
        <v>0</v>
      </c>
      <c r="AH57" s="70">
        <f t="shared" si="32"/>
        <v>0</v>
      </c>
      <c r="AI57" s="67" t="s">
        <v>144</v>
      </c>
      <c r="AJ57" s="70">
        <f t="shared" si="33"/>
        <v>0</v>
      </c>
      <c r="AK57" s="70">
        <f t="shared" si="34"/>
        <v>0</v>
      </c>
      <c r="AL57" s="70">
        <f t="shared" si="35"/>
        <v>0</v>
      </c>
      <c r="AN57" s="70">
        <v>21</v>
      </c>
      <c r="AO57" s="70">
        <f t="shared" si="36"/>
        <v>0</v>
      </c>
      <c r="AP57" s="70">
        <f t="shared" si="37"/>
        <v>0</v>
      </c>
      <c r="AQ57" s="71" t="s">
        <v>355</v>
      </c>
      <c r="AV57" s="70">
        <f t="shared" si="38"/>
        <v>0</v>
      </c>
      <c r="AW57" s="70">
        <f t="shared" si="39"/>
        <v>0</v>
      </c>
      <c r="AX57" s="70">
        <f t="shared" si="40"/>
        <v>0</v>
      </c>
      <c r="AY57" s="71" t="s">
        <v>356</v>
      </c>
      <c r="AZ57" s="71" t="s">
        <v>1002</v>
      </c>
      <c r="BA57" s="67" t="s">
        <v>149</v>
      </c>
      <c r="BC57" s="70">
        <f t="shared" si="41"/>
        <v>0</v>
      </c>
      <c r="BD57" s="70">
        <f t="shared" si="42"/>
        <v>0</v>
      </c>
      <c r="BE57" s="70">
        <v>0</v>
      </c>
      <c r="BF57" s="70">
        <f>57</f>
        <v>57</v>
      </c>
      <c r="BH57" s="70">
        <f t="shared" si="43"/>
        <v>0</v>
      </c>
      <c r="BI57" s="70">
        <f t="shared" si="44"/>
        <v>0</v>
      </c>
      <c r="BJ57" s="70">
        <f t="shared" si="45"/>
        <v>0</v>
      </c>
    </row>
    <row r="58" spans="1:62" ht="15">
      <c r="A58" s="72" t="s">
        <v>203</v>
      </c>
      <c r="B58" s="72" t="s">
        <v>1005</v>
      </c>
      <c r="C58" s="712" t="s">
        <v>1007</v>
      </c>
      <c r="D58" s="693"/>
      <c r="E58" s="713"/>
      <c r="F58" s="72" t="s">
        <v>306</v>
      </c>
      <c r="G58" s="73">
        <v>8</v>
      </c>
      <c r="H58" s="581">
        <v>0</v>
      </c>
      <c r="I58" s="73">
        <f t="shared" si="22"/>
        <v>0</v>
      </c>
      <c r="J58" s="73">
        <f t="shared" si="23"/>
        <v>0</v>
      </c>
      <c r="K58" s="73">
        <f t="shared" si="24"/>
        <v>0</v>
      </c>
      <c r="L58" s="74"/>
      <c r="Z58" s="70">
        <f t="shared" si="25"/>
        <v>0</v>
      </c>
      <c r="AB58" s="70">
        <f t="shared" si="26"/>
        <v>0</v>
      </c>
      <c r="AC58" s="70">
        <f t="shared" si="27"/>
        <v>0</v>
      </c>
      <c r="AD58" s="70">
        <f t="shared" si="28"/>
        <v>0</v>
      </c>
      <c r="AE58" s="70">
        <f t="shared" si="29"/>
        <v>0</v>
      </c>
      <c r="AF58" s="70">
        <f t="shared" si="30"/>
        <v>0</v>
      </c>
      <c r="AG58" s="70">
        <f t="shared" si="31"/>
        <v>0</v>
      </c>
      <c r="AH58" s="70">
        <f t="shared" si="32"/>
        <v>0</v>
      </c>
      <c r="AI58" s="67" t="s">
        <v>144</v>
      </c>
      <c r="AJ58" s="70">
        <f t="shared" si="33"/>
        <v>0</v>
      </c>
      <c r="AK58" s="70">
        <f t="shared" si="34"/>
        <v>0</v>
      </c>
      <c r="AL58" s="70">
        <f t="shared" si="35"/>
        <v>0</v>
      </c>
      <c r="AN58" s="70">
        <v>21</v>
      </c>
      <c r="AO58" s="70">
        <f t="shared" si="36"/>
        <v>0</v>
      </c>
      <c r="AP58" s="70">
        <f t="shared" si="37"/>
        <v>0</v>
      </c>
      <c r="AQ58" s="71" t="s">
        <v>355</v>
      </c>
      <c r="AV58" s="70">
        <f t="shared" si="38"/>
        <v>0</v>
      </c>
      <c r="AW58" s="70">
        <f t="shared" si="39"/>
        <v>0</v>
      </c>
      <c r="AX58" s="70">
        <f t="shared" si="40"/>
        <v>0</v>
      </c>
      <c r="AY58" s="71" t="s">
        <v>356</v>
      </c>
      <c r="AZ58" s="71" t="s">
        <v>1002</v>
      </c>
      <c r="BA58" s="67" t="s">
        <v>149</v>
      </c>
      <c r="BC58" s="70">
        <f t="shared" si="41"/>
        <v>0</v>
      </c>
      <c r="BD58" s="70">
        <f t="shared" si="42"/>
        <v>0</v>
      </c>
      <c r="BE58" s="70">
        <v>0</v>
      </c>
      <c r="BF58" s="70">
        <f>58</f>
        <v>58</v>
      </c>
      <c r="BH58" s="70">
        <f t="shared" si="43"/>
        <v>0</v>
      </c>
      <c r="BI58" s="70">
        <f t="shared" si="44"/>
        <v>0</v>
      </c>
      <c r="BJ58" s="70">
        <f t="shared" si="45"/>
        <v>0</v>
      </c>
    </row>
    <row r="59" spans="1:62" ht="15">
      <c r="A59" s="589" t="s">
        <v>206</v>
      </c>
      <c r="B59" s="589" t="s">
        <v>1005</v>
      </c>
      <c r="C59" s="696" t="s">
        <v>1008</v>
      </c>
      <c r="D59" s="693"/>
      <c r="E59" s="693"/>
      <c r="F59" s="589" t="s">
        <v>306</v>
      </c>
      <c r="G59" s="70">
        <v>2</v>
      </c>
      <c r="H59" s="580">
        <v>0</v>
      </c>
      <c r="I59" s="70">
        <f t="shared" si="22"/>
        <v>0</v>
      </c>
      <c r="J59" s="70">
        <f t="shared" si="23"/>
        <v>0</v>
      </c>
      <c r="K59" s="70">
        <f t="shared" si="24"/>
        <v>0</v>
      </c>
      <c r="L59" s="71"/>
      <c r="Z59" s="70">
        <f t="shared" si="25"/>
        <v>0</v>
      </c>
      <c r="AB59" s="70">
        <f t="shared" si="26"/>
        <v>0</v>
      </c>
      <c r="AC59" s="70">
        <f t="shared" si="27"/>
        <v>0</v>
      </c>
      <c r="AD59" s="70">
        <f t="shared" si="28"/>
        <v>0</v>
      </c>
      <c r="AE59" s="70">
        <f t="shared" si="29"/>
        <v>0</v>
      </c>
      <c r="AF59" s="70">
        <f t="shared" si="30"/>
        <v>0</v>
      </c>
      <c r="AG59" s="70">
        <f t="shared" si="31"/>
        <v>0</v>
      </c>
      <c r="AH59" s="70">
        <f t="shared" si="32"/>
        <v>0</v>
      </c>
      <c r="AI59" s="67" t="s">
        <v>144</v>
      </c>
      <c r="AJ59" s="70">
        <f t="shared" si="33"/>
        <v>0</v>
      </c>
      <c r="AK59" s="70">
        <f t="shared" si="34"/>
        <v>0</v>
      </c>
      <c r="AL59" s="70">
        <f t="shared" si="35"/>
        <v>0</v>
      </c>
      <c r="AN59" s="70">
        <v>21</v>
      </c>
      <c r="AO59" s="70">
        <f t="shared" si="36"/>
        <v>0</v>
      </c>
      <c r="AP59" s="70">
        <f t="shared" si="37"/>
        <v>0</v>
      </c>
      <c r="AQ59" s="71" t="s">
        <v>355</v>
      </c>
      <c r="AV59" s="70">
        <f t="shared" si="38"/>
        <v>0</v>
      </c>
      <c r="AW59" s="70">
        <f t="shared" si="39"/>
        <v>0</v>
      </c>
      <c r="AX59" s="70">
        <f t="shared" si="40"/>
        <v>0</v>
      </c>
      <c r="AY59" s="71" t="s">
        <v>356</v>
      </c>
      <c r="AZ59" s="71" t="s">
        <v>1002</v>
      </c>
      <c r="BA59" s="67" t="s">
        <v>149</v>
      </c>
      <c r="BC59" s="70">
        <f t="shared" si="41"/>
        <v>0</v>
      </c>
      <c r="BD59" s="70">
        <f t="shared" si="42"/>
        <v>0</v>
      </c>
      <c r="BE59" s="70">
        <v>0</v>
      </c>
      <c r="BF59" s="70">
        <f>59</f>
        <v>59</v>
      </c>
      <c r="BH59" s="70">
        <f t="shared" si="43"/>
        <v>0</v>
      </c>
      <c r="BI59" s="70">
        <f t="shared" si="44"/>
        <v>0</v>
      </c>
      <c r="BJ59" s="70">
        <f t="shared" si="45"/>
        <v>0</v>
      </c>
    </row>
    <row r="60" spans="1:62" ht="15">
      <c r="A60" s="589" t="s">
        <v>212</v>
      </c>
      <c r="B60" s="589" t="s">
        <v>1009</v>
      </c>
      <c r="C60" s="696" t="s">
        <v>1010</v>
      </c>
      <c r="D60" s="693"/>
      <c r="E60" s="693"/>
      <c r="F60" s="589" t="s">
        <v>306</v>
      </c>
      <c r="G60" s="70">
        <v>10</v>
      </c>
      <c r="H60" s="580">
        <v>0</v>
      </c>
      <c r="I60" s="70">
        <f t="shared" si="22"/>
        <v>0</v>
      </c>
      <c r="J60" s="70">
        <f t="shared" si="23"/>
        <v>0</v>
      </c>
      <c r="K60" s="70">
        <f t="shared" si="24"/>
        <v>0</v>
      </c>
      <c r="L60" s="71"/>
      <c r="Z60" s="70">
        <f t="shared" si="25"/>
        <v>0</v>
      </c>
      <c r="AB60" s="70">
        <f t="shared" si="26"/>
        <v>0</v>
      </c>
      <c r="AC60" s="70">
        <f t="shared" si="27"/>
        <v>0</v>
      </c>
      <c r="AD60" s="70">
        <f t="shared" si="28"/>
        <v>0</v>
      </c>
      <c r="AE60" s="70">
        <f t="shared" si="29"/>
        <v>0</v>
      </c>
      <c r="AF60" s="70">
        <f t="shared" si="30"/>
        <v>0</v>
      </c>
      <c r="AG60" s="70">
        <f t="shared" si="31"/>
        <v>0</v>
      </c>
      <c r="AH60" s="70">
        <f t="shared" si="32"/>
        <v>0</v>
      </c>
      <c r="AI60" s="67" t="s">
        <v>144</v>
      </c>
      <c r="AJ60" s="70">
        <f t="shared" si="33"/>
        <v>0</v>
      </c>
      <c r="AK60" s="70">
        <f t="shared" si="34"/>
        <v>0</v>
      </c>
      <c r="AL60" s="70">
        <f t="shared" si="35"/>
        <v>0</v>
      </c>
      <c r="AN60" s="70">
        <v>21</v>
      </c>
      <c r="AO60" s="70">
        <f t="shared" si="36"/>
        <v>0</v>
      </c>
      <c r="AP60" s="70">
        <f t="shared" si="37"/>
        <v>0</v>
      </c>
      <c r="AQ60" s="71" t="s">
        <v>355</v>
      </c>
      <c r="AV60" s="70">
        <f t="shared" si="38"/>
        <v>0</v>
      </c>
      <c r="AW60" s="70">
        <f t="shared" si="39"/>
        <v>0</v>
      </c>
      <c r="AX60" s="70">
        <f t="shared" si="40"/>
        <v>0</v>
      </c>
      <c r="AY60" s="71" t="s">
        <v>356</v>
      </c>
      <c r="AZ60" s="71" t="s">
        <v>1002</v>
      </c>
      <c r="BA60" s="67" t="s">
        <v>149</v>
      </c>
      <c r="BC60" s="70">
        <f t="shared" si="41"/>
        <v>0</v>
      </c>
      <c r="BD60" s="70">
        <f t="shared" si="42"/>
        <v>0</v>
      </c>
      <c r="BE60" s="70">
        <v>0</v>
      </c>
      <c r="BF60" s="70">
        <f>60</f>
        <v>60</v>
      </c>
      <c r="BH60" s="70">
        <f t="shared" si="43"/>
        <v>0</v>
      </c>
      <c r="BI60" s="70">
        <f t="shared" si="44"/>
        <v>0</v>
      </c>
      <c r="BJ60" s="70">
        <f t="shared" si="45"/>
        <v>0</v>
      </c>
    </row>
    <row r="61" spans="1:62" ht="15">
      <c r="A61" s="589" t="s">
        <v>215</v>
      </c>
      <c r="B61" s="589" t="s">
        <v>1011</v>
      </c>
      <c r="C61" s="696" t="s">
        <v>1012</v>
      </c>
      <c r="D61" s="693"/>
      <c r="E61" s="693"/>
      <c r="F61" s="589" t="s">
        <v>253</v>
      </c>
      <c r="G61" s="70">
        <v>3.5</v>
      </c>
      <c r="H61" s="580">
        <v>0</v>
      </c>
      <c r="I61" s="70">
        <f t="shared" si="22"/>
        <v>0</v>
      </c>
      <c r="J61" s="70">
        <f t="shared" si="23"/>
        <v>0</v>
      </c>
      <c r="K61" s="70">
        <f t="shared" si="24"/>
        <v>0</v>
      </c>
      <c r="L61" s="71" t="s">
        <v>120</v>
      </c>
      <c r="Z61" s="70">
        <f t="shared" si="25"/>
        <v>0</v>
      </c>
      <c r="AB61" s="70">
        <f t="shared" si="26"/>
        <v>0</v>
      </c>
      <c r="AC61" s="70">
        <f t="shared" si="27"/>
        <v>0</v>
      </c>
      <c r="AD61" s="70">
        <f t="shared" si="28"/>
        <v>0</v>
      </c>
      <c r="AE61" s="70">
        <f t="shared" si="29"/>
        <v>0</v>
      </c>
      <c r="AF61" s="70">
        <f t="shared" si="30"/>
        <v>0</v>
      </c>
      <c r="AG61" s="70">
        <f t="shared" si="31"/>
        <v>0</v>
      </c>
      <c r="AH61" s="70">
        <f t="shared" si="32"/>
        <v>0</v>
      </c>
      <c r="AI61" s="67" t="s">
        <v>144</v>
      </c>
      <c r="AJ61" s="70">
        <f t="shared" si="33"/>
        <v>0</v>
      </c>
      <c r="AK61" s="70">
        <f t="shared" si="34"/>
        <v>0</v>
      </c>
      <c r="AL61" s="70">
        <f t="shared" si="35"/>
        <v>0</v>
      </c>
      <c r="AN61" s="70">
        <v>21</v>
      </c>
      <c r="AO61" s="70">
        <f t="shared" si="36"/>
        <v>0</v>
      </c>
      <c r="AP61" s="70">
        <f t="shared" si="37"/>
        <v>0</v>
      </c>
      <c r="AQ61" s="71" t="s">
        <v>355</v>
      </c>
      <c r="AV61" s="70">
        <f t="shared" si="38"/>
        <v>0</v>
      </c>
      <c r="AW61" s="70">
        <f t="shared" si="39"/>
        <v>0</v>
      </c>
      <c r="AX61" s="70">
        <f t="shared" si="40"/>
        <v>0</v>
      </c>
      <c r="AY61" s="71" t="s">
        <v>356</v>
      </c>
      <c r="AZ61" s="71" t="s">
        <v>1002</v>
      </c>
      <c r="BA61" s="67" t="s">
        <v>149</v>
      </c>
      <c r="BC61" s="70">
        <f t="shared" si="41"/>
        <v>0</v>
      </c>
      <c r="BD61" s="70">
        <f t="shared" si="42"/>
        <v>0</v>
      </c>
      <c r="BE61" s="70">
        <v>0</v>
      </c>
      <c r="BF61" s="70">
        <f>61</f>
        <v>61</v>
      </c>
      <c r="BH61" s="70">
        <f t="shared" si="43"/>
        <v>0</v>
      </c>
      <c r="BI61" s="70">
        <f t="shared" si="44"/>
        <v>0</v>
      </c>
      <c r="BJ61" s="70">
        <f t="shared" si="45"/>
        <v>0</v>
      </c>
    </row>
    <row r="62" spans="2:12" ht="12.75" customHeight="1">
      <c r="B62" s="75" t="s">
        <v>67</v>
      </c>
      <c r="C62" s="725" t="s">
        <v>1013</v>
      </c>
      <c r="D62" s="726"/>
      <c r="E62" s="726"/>
      <c r="F62" s="726"/>
      <c r="G62" s="726"/>
      <c r="H62" s="726"/>
      <c r="I62" s="726"/>
      <c r="J62" s="726"/>
      <c r="K62" s="726"/>
      <c r="L62" s="726"/>
    </row>
    <row r="63" spans="1:62" ht="15">
      <c r="A63" s="589" t="s">
        <v>218</v>
      </c>
      <c r="B63" s="589" t="s">
        <v>1014</v>
      </c>
      <c r="C63" s="696" t="s">
        <v>1015</v>
      </c>
      <c r="D63" s="693"/>
      <c r="E63" s="693"/>
      <c r="F63" s="589" t="s">
        <v>253</v>
      </c>
      <c r="G63" s="70">
        <v>2.2</v>
      </c>
      <c r="H63" s="580">
        <v>0</v>
      </c>
      <c r="I63" s="70">
        <f>G63*AO63</f>
        <v>0</v>
      </c>
      <c r="J63" s="70">
        <f>G63*AP63</f>
        <v>0</v>
      </c>
      <c r="K63" s="70">
        <f>G63*H63</f>
        <v>0</v>
      </c>
      <c r="L63" s="71" t="s">
        <v>120</v>
      </c>
      <c r="Z63" s="70">
        <f>IF(AQ63="5",BJ63,0)</f>
        <v>0</v>
      </c>
      <c r="AB63" s="70">
        <f>IF(AQ63="1",BH63,0)</f>
        <v>0</v>
      </c>
      <c r="AC63" s="70">
        <f>IF(AQ63="1",BI63,0)</f>
        <v>0</v>
      </c>
      <c r="AD63" s="70">
        <f>IF(AQ63="7",BH63,0)</f>
        <v>0</v>
      </c>
      <c r="AE63" s="70">
        <f>IF(AQ63="7",BI63,0)</f>
        <v>0</v>
      </c>
      <c r="AF63" s="70">
        <f>IF(AQ63="2",BH63,0)</f>
        <v>0</v>
      </c>
      <c r="AG63" s="70">
        <f>IF(AQ63="2",BI63,0)</f>
        <v>0</v>
      </c>
      <c r="AH63" s="70">
        <f>IF(AQ63="0",BJ63,0)</f>
        <v>0</v>
      </c>
      <c r="AI63" s="67" t="s">
        <v>144</v>
      </c>
      <c r="AJ63" s="70">
        <f>IF(AN63=0,K63,0)</f>
        <v>0</v>
      </c>
      <c r="AK63" s="70">
        <f>IF(AN63=15,K63,0)</f>
        <v>0</v>
      </c>
      <c r="AL63" s="70">
        <f>IF(AN63=21,K63,0)</f>
        <v>0</v>
      </c>
      <c r="AN63" s="70">
        <v>21</v>
      </c>
      <c r="AO63" s="70">
        <f>H63*1</f>
        <v>0</v>
      </c>
      <c r="AP63" s="70">
        <f>H63*(1-1)</f>
        <v>0</v>
      </c>
      <c r="AQ63" s="71" t="s">
        <v>355</v>
      </c>
      <c r="AV63" s="70">
        <f>AW63+AX63</f>
        <v>0</v>
      </c>
      <c r="AW63" s="70">
        <f>G63*AO63</f>
        <v>0</v>
      </c>
      <c r="AX63" s="70">
        <f>G63*AP63</f>
        <v>0</v>
      </c>
      <c r="AY63" s="71" t="s">
        <v>356</v>
      </c>
      <c r="AZ63" s="71" t="s">
        <v>1002</v>
      </c>
      <c r="BA63" s="67" t="s">
        <v>149</v>
      </c>
      <c r="BC63" s="70">
        <f>AW63+AX63</f>
        <v>0</v>
      </c>
      <c r="BD63" s="70">
        <f>H63/(100-BE63)*100</f>
        <v>0</v>
      </c>
      <c r="BE63" s="70">
        <v>0</v>
      </c>
      <c r="BF63" s="70">
        <f>63</f>
        <v>63</v>
      </c>
      <c r="BH63" s="70">
        <f>G63*AO63</f>
        <v>0</v>
      </c>
      <c r="BI63" s="70">
        <f>G63*AP63</f>
        <v>0</v>
      </c>
      <c r="BJ63" s="70">
        <f>G63*H63</f>
        <v>0</v>
      </c>
    </row>
    <row r="64" spans="1:62" ht="15">
      <c r="A64" s="589" t="s">
        <v>221</v>
      </c>
      <c r="B64" s="589" t="s">
        <v>1016</v>
      </c>
      <c r="C64" s="696" t="s">
        <v>1017</v>
      </c>
      <c r="D64" s="693"/>
      <c r="E64" s="693"/>
      <c r="F64" s="589" t="s">
        <v>253</v>
      </c>
      <c r="G64" s="70">
        <v>9.6</v>
      </c>
      <c r="H64" s="580">
        <v>0</v>
      </c>
      <c r="I64" s="70">
        <f>G64*AO64</f>
        <v>0</v>
      </c>
      <c r="J64" s="70">
        <f>G64*AP64</f>
        <v>0</v>
      </c>
      <c r="K64" s="70">
        <f>G64*H64</f>
        <v>0</v>
      </c>
      <c r="L64" s="71"/>
      <c r="Z64" s="70">
        <f>IF(AQ64="5",BJ64,0)</f>
        <v>0</v>
      </c>
      <c r="AB64" s="70">
        <f>IF(AQ64="1",BH64,0)</f>
        <v>0</v>
      </c>
      <c r="AC64" s="70">
        <f>IF(AQ64="1",BI64,0)</f>
        <v>0</v>
      </c>
      <c r="AD64" s="70">
        <f>IF(AQ64="7",BH64,0)</f>
        <v>0</v>
      </c>
      <c r="AE64" s="70">
        <f>IF(AQ64="7",BI64,0)</f>
        <v>0</v>
      </c>
      <c r="AF64" s="70">
        <f>IF(AQ64="2",BH64,0)</f>
        <v>0</v>
      </c>
      <c r="AG64" s="70">
        <f>IF(AQ64="2",BI64,0)</f>
        <v>0</v>
      </c>
      <c r="AH64" s="70">
        <f>IF(AQ64="0",BJ64,0)</f>
        <v>0</v>
      </c>
      <c r="AI64" s="67" t="s">
        <v>144</v>
      </c>
      <c r="AJ64" s="70">
        <f>IF(AN64=0,K64,0)</f>
        <v>0</v>
      </c>
      <c r="AK64" s="70">
        <f>IF(AN64=15,K64,0)</f>
        <v>0</v>
      </c>
      <c r="AL64" s="70">
        <f>IF(AN64=21,K64,0)</f>
        <v>0</v>
      </c>
      <c r="AN64" s="70">
        <v>21</v>
      </c>
      <c r="AO64" s="70">
        <f>H64*1</f>
        <v>0</v>
      </c>
      <c r="AP64" s="70">
        <f>H64*(1-1)</f>
        <v>0</v>
      </c>
      <c r="AQ64" s="71" t="s">
        <v>355</v>
      </c>
      <c r="AV64" s="70">
        <f>AW64+AX64</f>
        <v>0</v>
      </c>
      <c r="AW64" s="70">
        <f>G64*AO64</f>
        <v>0</v>
      </c>
      <c r="AX64" s="70">
        <f>G64*AP64</f>
        <v>0</v>
      </c>
      <c r="AY64" s="71" t="s">
        <v>356</v>
      </c>
      <c r="AZ64" s="71" t="s">
        <v>1002</v>
      </c>
      <c r="BA64" s="67" t="s">
        <v>149</v>
      </c>
      <c r="BC64" s="70">
        <f>AW64+AX64</f>
        <v>0</v>
      </c>
      <c r="BD64" s="70">
        <f>H64/(100-BE64)*100</f>
        <v>0</v>
      </c>
      <c r="BE64" s="70">
        <v>0</v>
      </c>
      <c r="BF64" s="70">
        <f>64</f>
        <v>64</v>
      </c>
      <c r="BH64" s="70">
        <f>G64*AO64</f>
        <v>0</v>
      </c>
      <c r="BI64" s="70">
        <f>G64*AP64</f>
        <v>0</v>
      </c>
      <c r="BJ64" s="70">
        <f>G64*H64</f>
        <v>0</v>
      </c>
    </row>
    <row r="65" spans="2:12" ht="38.7" customHeight="1">
      <c r="B65" s="75" t="s">
        <v>67</v>
      </c>
      <c r="C65" s="725" t="s">
        <v>1018</v>
      </c>
      <c r="D65" s="726"/>
      <c r="E65" s="726"/>
      <c r="F65" s="726"/>
      <c r="G65" s="726"/>
      <c r="H65" s="726"/>
      <c r="I65" s="726"/>
      <c r="J65" s="726"/>
      <c r="K65" s="726"/>
      <c r="L65" s="726"/>
    </row>
    <row r="66" spans="1:12" ht="15">
      <c r="A66" s="48"/>
      <c r="B66" s="590"/>
      <c r="C66" s="727" t="s">
        <v>1019</v>
      </c>
      <c r="D66" s="728"/>
      <c r="E66" s="728"/>
      <c r="F66" s="48" t="s">
        <v>70</v>
      </c>
      <c r="G66" s="48" t="s">
        <v>70</v>
      </c>
      <c r="H66" s="48" t="s">
        <v>70</v>
      </c>
      <c r="I66" s="50">
        <f>I67+I95+I98+I100</f>
        <v>0</v>
      </c>
      <c r="J66" s="50">
        <f>J67+J95+J98+J100</f>
        <v>0</v>
      </c>
      <c r="K66" s="50">
        <f>K67+K95+K98+K100</f>
        <v>0</v>
      </c>
      <c r="L66" s="51"/>
    </row>
    <row r="67" spans="1:47" ht="15">
      <c r="A67" s="88"/>
      <c r="B67" s="591" t="s">
        <v>177</v>
      </c>
      <c r="C67" s="710" t="s">
        <v>975</v>
      </c>
      <c r="D67" s="711"/>
      <c r="E67" s="711"/>
      <c r="F67" s="88" t="s">
        <v>70</v>
      </c>
      <c r="G67" s="88" t="s">
        <v>70</v>
      </c>
      <c r="H67" s="88" t="s">
        <v>70</v>
      </c>
      <c r="I67" s="90">
        <f>SUM(I68:I94)</f>
        <v>0</v>
      </c>
      <c r="J67" s="90">
        <f>SUM(J68:J94)</f>
        <v>0</v>
      </c>
      <c r="K67" s="90">
        <f>SUM(K68:K94)</f>
        <v>0</v>
      </c>
      <c r="L67" s="91"/>
      <c r="AI67" s="67" t="s">
        <v>157</v>
      </c>
      <c r="AS67" s="68">
        <f>SUM(AJ68:AJ94)</f>
        <v>0</v>
      </c>
      <c r="AT67" s="68">
        <f>SUM(AK68:AK94)</f>
        <v>0</v>
      </c>
      <c r="AU67" s="68">
        <f>SUM(AL68:AL94)</f>
        <v>0</v>
      </c>
    </row>
    <row r="68" spans="1:62" ht="15">
      <c r="A68" s="589" t="s">
        <v>226</v>
      </c>
      <c r="B68" s="589" t="s">
        <v>1020</v>
      </c>
      <c r="C68" s="696" t="s">
        <v>1021</v>
      </c>
      <c r="D68" s="693"/>
      <c r="E68" s="693"/>
      <c r="F68" s="589" t="s">
        <v>109</v>
      </c>
      <c r="G68" s="70">
        <v>984</v>
      </c>
      <c r="H68" s="580">
        <v>0</v>
      </c>
      <c r="I68" s="70">
        <f>G68*AO68</f>
        <v>0</v>
      </c>
      <c r="J68" s="70">
        <f>G68*AP68</f>
        <v>0</v>
      </c>
      <c r="K68" s="70">
        <f>G68*H68</f>
        <v>0</v>
      </c>
      <c r="L68" s="71" t="s">
        <v>120</v>
      </c>
      <c r="Z68" s="70">
        <f>IF(AQ68="5",BJ68,0)</f>
        <v>0</v>
      </c>
      <c r="AB68" s="70">
        <f>IF(AQ68="1",BH68,0)</f>
        <v>0</v>
      </c>
      <c r="AC68" s="70">
        <f>IF(AQ68="1",BI68,0)</f>
        <v>0</v>
      </c>
      <c r="AD68" s="70">
        <f>IF(AQ68="7",BH68,0)</f>
        <v>0</v>
      </c>
      <c r="AE68" s="70">
        <f>IF(AQ68="7",BI68,0)</f>
        <v>0</v>
      </c>
      <c r="AF68" s="70">
        <f>IF(AQ68="2",BH68,0)</f>
        <v>0</v>
      </c>
      <c r="AG68" s="70">
        <f>IF(AQ68="2",BI68,0)</f>
        <v>0</v>
      </c>
      <c r="AH68" s="70">
        <f>IF(AQ68="0",BJ68,0)</f>
        <v>0</v>
      </c>
      <c r="AI68" s="67" t="s">
        <v>157</v>
      </c>
      <c r="AJ68" s="70">
        <f>IF(AN68=0,K68,0)</f>
        <v>0</v>
      </c>
      <c r="AK68" s="70">
        <f>IF(AN68=15,K68,0)</f>
        <v>0</v>
      </c>
      <c r="AL68" s="70">
        <f>IF(AN68=21,K68,0)</f>
        <v>0</v>
      </c>
      <c r="AN68" s="70">
        <v>21</v>
      </c>
      <c r="AO68" s="70">
        <f>H68*0.00665024630541872</f>
        <v>0</v>
      </c>
      <c r="AP68" s="70">
        <f>H68*(1-0.00665024630541872)</f>
        <v>0</v>
      </c>
      <c r="AQ68" s="71" t="s">
        <v>106</v>
      </c>
      <c r="AV68" s="70">
        <f>AW68+AX68</f>
        <v>0</v>
      </c>
      <c r="AW68" s="70">
        <f>G68*AO68</f>
        <v>0</v>
      </c>
      <c r="AX68" s="70">
        <f>G68*AP68</f>
        <v>0</v>
      </c>
      <c r="AY68" s="71" t="s">
        <v>439</v>
      </c>
      <c r="AZ68" s="71" t="s">
        <v>161</v>
      </c>
      <c r="BA68" s="67" t="s">
        <v>162</v>
      </c>
      <c r="BC68" s="70">
        <f>AW68+AX68</f>
        <v>0</v>
      </c>
      <c r="BD68" s="70">
        <f>H68/(100-BE68)*100</f>
        <v>0</v>
      </c>
      <c r="BE68" s="70">
        <v>0</v>
      </c>
      <c r="BF68" s="70">
        <f>68</f>
        <v>68</v>
      </c>
      <c r="BH68" s="70">
        <f>G68*AO68</f>
        <v>0</v>
      </c>
      <c r="BI68" s="70">
        <f>G68*AP68</f>
        <v>0</v>
      </c>
      <c r="BJ68" s="70">
        <f>G68*H68</f>
        <v>0</v>
      </c>
    </row>
    <row r="69" spans="2:12" ht="25.35" customHeight="1">
      <c r="B69" s="75" t="s">
        <v>67</v>
      </c>
      <c r="C69" s="725" t="s">
        <v>1022</v>
      </c>
      <c r="D69" s="726"/>
      <c r="E69" s="726"/>
      <c r="F69" s="726"/>
      <c r="G69" s="726"/>
      <c r="H69" s="726"/>
      <c r="I69" s="726"/>
      <c r="J69" s="726"/>
      <c r="K69" s="726"/>
      <c r="L69" s="726"/>
    </row>
    <row r="70" spans="1:62" ht="15">
      <c r="A70" s="589" t="s">
        <v>229</v>
      </c>
      <c r="B70" s="589" t="s">
        <v>1023</v>
      </c>
      <c r="C70" s="696" t="s">
        <v>1024</v>
      </c>
      <c r="D70" s="693"/>
      <c r="E70" s="693"/>
      <c r="F70" s="589" t="s">
        <v>109</v>
      </c>
      <c r="G70" s="70">
        <v>984</v>
      </c>
      <c r="H70" s="580">
        <v>0</v>
      </c>
      <c r="I70" s="70">
        <f>G70*AO70</f>
        <v>0</v>
      </c>
      <c r="J70" s="70">
        <f>G70*AP70</f>
        <v>0</v>
      </c>
      <c r="K70" s="70">
        <f>G70*H70</f>
        <v>0</v>
      </c>
      <c r="L70" s="71" t="s">
        <v>120</v>
      </c>
      <c r="Z70" s="70">
        <f>IF(AQ70="5",BJ70,0)</f>
        <v>0</v>
      </c>
      <c r="AB70" s="70">
        <f>IF(AQ70="1",BH70,0)</f>
        <v>0</v>
      </c>
      <c r="AC70" s="70">
        <f>IF(AQ70="1",BI70,0)</f>
        <v>0</v>
      </c>
      <c r="AD70" s="70">
        <f>IF(AQ70="7",BH70,0)</f>
        <v>0</v>
      </c>
      <c r="AE70" s="70">
        <f>IF(AQ70="7",BI70,0)</f>
        <v>0</v>
      </c>
      <c r="AF70" s="70">
        <f>IF(AQ70="2",BH70,0)</f>
        <v>0</v>
      </c>
      <c r="AG70" s="70">
        <f>IF(AQ70="2",BI70,0)</f>
        <v>0</v>
      </c>
      <c r="AH70" s="70">
        <f>IF(AQ70="0",BJ70,0)</f>
        <v>0</v>
      </c>
      <c r="AI70" s="67" t="s">
        <v>157</v>
      </c>
      <c r="AJ70" s="70">
        <f>IF(AN70=0,K70,0)</f>
        <v>0</v>
      </c>
      <c r="AK70" s="70">
        <f>IF(AN70=15,K70,0)</f>
        <v>0</v>
      </c>
      <c r="AL70" s="70">
        <f>IF(AN70=21,K70,0)</f>
        <v>0</v>
      </c>
      <c r="AN70" s="70">
        <v>21</v>
      </c>
      <c r="AO70" s="70">
        <f>H70*0</f>
        <v>0</v>
      </c>
      <c r="AP70" s="70">
        <f>H70*(1-0)</f>
        <v>0</v>
      </c>
      <c r="AQ70" s="71" t="s">
        <v>106</v>
      </c>
      <c r="AV70" s="70">
        <f>AW70+AX70</f>
        <v>0</v>
      </c>
      <c r="AW70" s="70">
        <f>G70*AO70</f>
        <v>0</v>
      </c>
      <c r="AX70" s="70">
        <f>G70*AP70</f>
        <v>0</v>
      </c>
      <c r="AY70" s="71" t="s">
        <v>439</v>
      </c>
      <c r="AZ70" s="71" t="s">
        <v>161</v>
      </c>
      <c r="BA70" s="67" t="s">
        <v>162</v>
      </c>
      <c r="BC70" s="70">
        <f>AW70+AX70</f>
        <v>0</v>
      </c>
      <c r="BD70" s="70">
        <f>H70/(100-BE70)*100</f>
        <v>0</v>
      </c>
      <c r="BE70" s="70">
        <v>0</v>
      </c>
      <c r="BF70" s="70">
        <f>70</f>
        <v>70</v>
      </c>
      <c r="BH70" s="70">
        <f>G70*AO70</f>
        <v>0</v>
      </c>
      <c r="BI70" s="70">
        <f>G70*AP70</f>
        <v>0</v>
      </c>
      <c r="BJ70" s="70">
        <f>G70*H70</f>
        <v>0</v>
      </c>
    </row>
    <row r="71" spans="1:62" ht="15">
      <c r="A71" s="589" t="s">
        <v>232</v>
      </c>
      <c r="B71" s="589" t="s">
        <v>1025</v>
      </c>
      <c r="C71" s="696" t="s">
        <v>1026</v>
      </c>
      <c r="D71" s="693"/>
      <c r="E71" s="693"/>
      <c r="F71" s="589" t="s">
        <v>253</v>
      </c>
      <c r="G71" s="70">
        <v>144</v>
      </c>
      <c r="H71" s="580">
        <v>0</v>
      </c>
      <c r="I71" s="70">
        <f>G71*AO71</f>
        <v>0</v>
      </c>
      <c r="J71" s="70">
        <f>G71*AP71</f>
        <v>0</v>
      </c>
      <c r="K71" s="70">
        <f>G71*H71</f>
        <v>0</v>
      </c>
      <c r="L71" s="71" t="s">
        <v>120</v>
      </c>
      <c r="Z71" s="70">
        <f>IF(AQ71="5",BJ71,0)</f>
        <v>0</v>
      </c>
      <c r="AB71" s="70">
        <f>IF(AQ71="1",BH71,0)</f>
        <v>0</v>
      </c>
      <c r="AC71" s="70">
        <f>IF(AQ71="1",BI71,0)</f>
        <v>0</v>
      </c>
      <c r="AD71" s="70">
        <f>IF(AQ71="7",BH71,0)</f>
        <v>0</v>
      </c>
      <c r="AE71" s="70">
        <f>IF(AQ71="7",BI71,0)</f>
        <v>0</v>
      </c>
      <c r="AF71" s="70">
        <f>IF(AQ71="2",BH71,0)</f>
        <v>0</v>
      </c>
      <c r="AG71" s="70">
        <f>IF(AQ71="2",BI71,0)</f>
        <v>0</v>
      </c>
      <c r="AH71" s="70">
        <f>IF(AQ71="0",BJ71,0)</f>
        <v>0</v>
      </c>
      <c r="AI71" s="67" t="s">
        <v>157</v>
      </c>
      <c r="AJ71" s="70">
        <f>IF(AN71=0,K71,0)</f>
        <v>0</v>
      </c>
      <c r="AK71" s="70">
        <f>IF(AN71=15,K71,0)</f>
        <v>0</v>
      </c>
      <c r="AL71" s="70">
        <f>IF(AN71=21,K71,0)</f>
        <v>0</v>
      </c>
      <c r="AN71" s="70">
        <v>21</v>
      </c>
      <c r="AO71" s="70">
        <f>H71*0</f>
        <v>0</v>
      </c>
      <c r="AP71" s="70">
        <f>H71*(1-0)</f>
        <v>0</v>
      </c>
      <c r="AQ71" s="71" t="s">
        <v>106</v>
      </c>
      <c r="AV71" s="70">
        <f>AW71+AX71</f>
        <v>0</v>
      </c>
      <c r="AW71" s="70">
        <f>G71*AO71</f>
        <v>0</v>
      </c>
      <c r="AX71" s="70">
        <f>G71*AP71</f>
        <v>0</v>
      </c>
      <c r="AY71" s="71" t="s">
        <v>439</v>
      </c>
      <c r="AZ71" s="71" t="s">
        <v>161</v>
      </c>
      <c r="BA71" s="67" t="s">
        <v>162</v>
      </c>
      <c r="BC71" s="70">
        <f>AW71+AX71</f>
        <v>0</v>
      </c>
      <c r="BD71" s="70">
        <f>H71/(100-BE71)*100</f>
        <v>0</v>
      </c>
      <c r="BE71" s="70">
        <v>0</v>
      </c>
      <c r="BF71" s="70">
        <f>71</f>
        <v>71</v>
      </c>
      <c r="BH71" s="70">
        <f>G71*AO71</f>
        <v>0</v>
      </c>
      <c r="BI71" s="70">
        <f>G71*AP71</f>
        <v>0</v>
      </c>
      <c r="BJ71" s="70">
        <f>G71*H71</f>
        <v>0</v>
      </c>
    </row>
    <row r="72" spans="2:12" ht="25.35" customHeight="1">
      <c r="B72" s="75" t="s">
        <v>67</v>
      </c>
      <c r="C72" s="725" t="s">
        <v>1027</v>
      </c>
      <c r="D72" s="726"/>
      <c r="E72" s="726"/>
      <c r="F72" s="726"/>
      <c r="G72" s="726"/>
      <c r="H72" s="726"/>
      <c r="I72" s="726"/>
      <c r="J72" s="726"/>
      <c r="K72" s="726"/>
      <c r="L72" s="726"/>
    </row>
    <row r="73" spans="1:62" ht="15">
      <c r="A73" s="589" t="s">
        <v>235</v>
      </c>
      <c r="B73" s="589" t="s">
        <v>1028</v>
      </c>
      <c r="C73" s="696" t="s">
        <v>1029</v>
      </c>
      <c r="D73" s="693"/>
      <c r="E73" s="693"/>
      <c r="F73" s="589" t="s">
        <v>253</v>
      </c>
      <c r="G73" s="70">
        <v>300</v>
      </c>
      <c r="H73" s="580">
        <v>0</v>
      </c>
      <c r="I73" s="70">
        <f>G73*AO73</f>
        <v>0</v>
      </c>
      <c r="J73" s="70">
        <f>G73*AP73</f>
        <v>0</v>
      </c>
      <c r="K73" s="70">
        <f>G73*H73</f>
        <v>0</v>
      </c>
      <c r="L73" s="71" t="s">
        <v>120</v>
      </c>
      <c r="Z73" s="70">
        <f>IF(AQ73="5",BJ73,0)</f>
        <v>0</v>
      </c>
      <c r="AB73" s="70">
        <f>IF(AQ73="1",BH73,0)</f>
        <v>0</v>
      </c>
      <c r="AC73" s="70">
        <f>IF(AQ73="1",BI73,0)</f>
        <v>0</v>
      </c>
      <c r="AD73" s="70">
        <f>IF(AQ73="7",BH73,0)</f>
        <v>0</v>
      </c>
      <c r="AE73" s="70">
        <f>IF(AQ73="7",BI73,0)</f>
        <v>0</v>
      </c>
      <c r="AF73" s="70">
        <f>IF(AQ73="2",BH73,0)</f>
        <v>0</v>
      </c>
      <c r="AG73" s="70">
        <f>IF(AQ73="2",BI73,0)</f>
        <v>0</v>
      </c>
      <c r="AH73" s="70">
        <f>IF(AQ73="0",BJ73,0)</f>
        <v>0</v>
      </c>
      <c r="AI73" s="67" t="s">
        <v>157</v>
      </c>
      <c r="AJ73" s="70">
        <f>IF(AN73=0,K73,0)</f>
        <v>0</v>
      </c>
      <c r="AK73" s="70">
        <f>IF(AN73=15,K73,0)</f>
        <v>0</v>
      </c>
      <c r="AL73" s="70">
        <f>IF(AN73=21,K73,0)</f>
        <v>0</v>
      </c>
      <c r="AN73" s="70">
        <v>21</v>
      </c>
      <c r="AO73" s="70">
        <f>H73*0</f>
        <v>0</v>
      </c>
      <c r="AP73" s="70">
        <f>H73*(1-0)</f>
        <v>0</v>
      </c>
      <c r="AQ73" s="71" t="s">
        <v>106</v>
      </c>
      <c r="AV73" s="70">
        <f>AW73+AX73</f>
        <v>0</v>
      </c>
      <c r="AW73" s="70">
        <f>G73*AO73</f>
        <v>0</v>
      </c>
      <c r="AX73" s="70">
        <f>G73*AP73</f>
        <v>0</v>
      </c>
      <c r="AY73" s="71" t="s">
        <v>439</v>
      </c>
      <c r="AZ73" s="71" t="s">
        <v>161</v>
      </c>
      <c r="BA73" s="67" t="s">
        <v>162</v>
      </c>
      <c r="BC73" s="70">
        <f>AW73+AX73</f>
        <v>0</v>
      </c>
      <c r="BD73" s="70">
        <f>H73/(100-BE73)*100</f>
        <v>0</v>
      </c>
      <c r="BE73" s="70">
        <v>0</v>
      </c>
      <c r="BF73" s="70">
        <f>73</f>
        <v>73</v>
      </c>
      <c r="BH73" s="70">
        <f>G73*AO73</f>
        <v>0</v>
      </c>
      <c r="BI73" s="70">
        <f>G73*AP73</f>
        <v>0</v>
      </c>
      <c r="BJ73" s="70">
        <f>G73*H73</f>
        <v>0</v>
      </c>
    </row>
    <row r="74" spans="2:12" ht="25.35" customHeight="1">
      <c r="B74" s="75" t="s">
        <v>67</v>
      </c>
      <c r="C74" s="725" t="s">
        <v>1030</v>
      </c>
      <c r="D74" s="726"/>
      <c r="E74" s="726"/>
      <c r="F74" s="726"/>
      <c r="G74" s="726"/>
      <c r="H74" s="726"/>
      <c r="I74" s="726"/>
      <c r="J74" s="726"/>
      <c r="K74" s="726"/>
      <c r="L74" s="726"/>
    </row>
    <row r="75" spans="1:62" ht="15">
      <c r="A75" s="589" t="s">
        <v>240</v>
      </c>
      <c r="B75" s="589" t="s">
        <v>1031</v>
      </c>
      <c r="C75" s="696" t="s">
        <v>1032</v>
      </c>
      <c r="D75" s="693"/>
      <c r="E75" s="693"/>
      <c r="F75" s="589" t="s">
        <v>109</v>
      </c>
      <c r="G75" s="70">
        <v>984</v>
      </c>
      <c r="H75" s="580">
        <v>0</v>
      </c>
      <c r="I75" s="70">
        <f>G75*AO75</f>
        <v>0</v>
      </c>
      <c r="J75" s="70">
        <f>G75*AP75</f>
        <v>0</v>
      </c>
      <c r="K75" s="70">
        <f>G75*H75</f>
        <v>0</v>
      </c>
      <c r="L75" s="71" t="s">
        <v>120</v>
      </c>
      <c r="Z75" s="70">
        <f>IF(AQ75="5",BJ75,0)</f>
        <v>0</v>
      </c>
      <c r="AB75" s="70">
        <f>IF(AQ75="1",BH75,0)</f>
        <v>0</v>
      </c>
      <c r="AC75" s="70">
        <f>IF(AQ75="1",BI75,0)</f>
        <v>0</v>
      </c>
      <c r="AD75" s="70">
        <f>IF(AQ75="7",BH75,0)</f>
        <v>0</v>
      </c>
      <c r="AE75" s="70">
        <f>IF(AQ75="7",BI75,0)</f>
        <v>0</v>
      </c>
      <c r="AF75" s="70">
        <f>IF(AQ75="2",BH75,0)</f>
        <v>0</v>
      </c>
      <c r="AG75" s="70">
        <f>IF(AQ75="2",BI75,0)</f>
        <v>0</v>
      </c>
      <c r="AH75" s="70">
        <f>IF(AQ75="0",BJ75,0)</f>
        <v>0</v>
      </c>
      <c r="AI75" s="67" t="s">
        <v>157</v>
      </c>
      <c r="AJ75" s="70">
        <f>IF(AN75=0,K75,0)</f>
        <v>0</v>
      </c>
      <c r="AK75" s="70">
        <f>IF(AN75=15,K75,0)</f>
        <v>0</v>
      </c>
      <c r="AL75" s="70">
        <f>IF(AN75=21,K75,0)</f>
        <v>0</v>
      </c>
      <c r="AN75" s="70">
        <v>21</v>
      </c>
      <c r="AO75" s="70">
        <f>H75*0</f>
        <v>0</v>
      </c>
      <c r="AP75" s="70">
        <f>H75*(1-0)</f>
        <v>0</v>
      </c>
      <c r="AQ75" s="71" t="s">
        <v>106</v>
      </c>
      <c r="AV75" s="70">
        <f>AW75+AX75</f>
        <v>0</v>
      </c>
      <c r="AW75" s="70">
        <f>G75*AO75</f>
        <v>0</v>
      </c>
      <c r="AX75" s="70">
        <f>G75*AP75</f>
        <v>0</v>
      </c>
      <c r="AY75" s="71" t="s">
        <v>439</v>
      </c>
      <c r="AZ75" s="71" t="s">
        <v>161</v>
      </c>
      <c r="BA75" s="67" t="s">
        <v>162</v>
      </c>
      <c r="BC75" s="70">
        <f>AW75+AX75</f>
        <v>0</v>
      </c>
      <c r="BD75" s="70">
        <f>H75/(100-BE75)*100</f>
        <v>0</v>
      </c>
      <c r="BE75" s="70">
        <v>0</v>
      </c>
      <c r="BF75" s="70">
        <f>75</f>
        <v>75</v>
      </c>
      <c r="BH75" s="70">
        <f>G75*AO75</f>
        <v>0</v>
      </c>
      <c r="BI75" s="70">
        <f>G75*AP75</f>
        <v>0</v>
      </c>
      <c r="BJ75" s="70">
        <f>G75*H75</f>
        <v>0</v>
      </c>
    </row>
    <row r="76" spans="2:12" ht="12.75" customHeight="1">
      <c r="B76" s="75" t="s">
        <v>67</v>
      </c>
      <c r="C76" s="725" t="s">
        <v>1033</v>
      </c>
      <c r="D76" s="726"/>
      <c r="E76" s="726"/>
      <c r="F76" s="726"/>
      <c r="G76" s="726"/>
      <c r="H76" s="726"/>
      <c r="I76" s="726"/>
      <c r="J76" s="726"/>
      <c r="K76" s="726"/>
      <c r="L76" s="726"/>
    </row>
    <row r="77" spans="1:62" ht="15">
      <c r="A77" s="589" t="s">
        <v>243</v>
      </c>
      <c r="B77" s="589" t="s">
        <v>1034</v>
      </c>
      <c r="C77" s="696" t="s">
        <v>1035</v>
      </c>
      <c r="D77" s="693"/>
      <c r="E77" s="693"/>
      <c r="F77" s="589" t="s">
        <v>109</v>
      </c>
      <c r="G77" s="70">
        <v>984</v>
      </c>
      <c r="H77" s="580">
        <v>0</v>
      </c>
      <c r="I77" s="70">
        <f aca="true" t="shared" si="46" ref="I77:I85">G77*AO77</f>
        <v>0</v>
      </c>
      <c r="J77" s="70">
        <f aca="true" t="shared" si="47" ref="J77:J85">G77*AP77</f>
        <v>0</v>
      </c>
      <c r="K77" s="70">
        <f aca="true" t="shared" si="48" ref="K77:K85">G77*H77</f>
        <v>0</v>
      </c>
      <c r="L77" s="71" t="s">
        <v>120</v>
      </c>
      <c r="Z77" s="70">
        <f aca="true" t="shared" si="49" ref="Z77:Z85">IF(AQ77="5",BJ77,0)</f>
        <v>0</v>
      </c>
      <c r="AB77" s="70">
        <f aca="true" t="shared" si="50" ref="AB77:AB85">IF(AQ77="1",BH77,0)</f>
        <v>0</v>
      </c>
      <c r="AC77" s="70">
        <f aca="true" t="shared" si="51" ref="AC77:AC85">IF(AQ77="1",BI77,0)</f>
        <v>0</v>
      </c>
      <c r="AD77" s="70">
        <f aca="true" t="shared" si="52" ref="AD77:AD85">IF(AQ77="7",BH77,0)</f>
        <v>0</v>
      </c>
      <c r="AE77" s="70">
        <f aca="true" t="shared" si="53" ref="AE77:AE85">IF(AQ77="7",BI77,0)</f>
        <v>0</v>
      </c>
      <c r="AF77" s="70">
        <f aca="true" t="shared" si="54" ref="AF77:AF85">IF(AQ77="2",BH77,0)</f>
        <v>0</v>
      </c>
      <c r="AG77" s="70">
        <f aca="true" t="shared" si="55" ref="AG77:AG85">IF(AQ77="2",BI77,0)</f>
        <v>0</v>
      </c>
      <c r="AH77" s="70">
        <f aca="true" t="shared" si="56" ref="AH77:AH85">IF(AQ77="0",BJ77,0)</f>
        <v>0</v>
      </c>
      <c r="AI77" s="67" t="s">
        <v>157</v>
      </c>
      <c r="AJ77" s="70">
        <f aca="true" t="shared" si="57" ref="AJ77:AJ85">IF(AN77=0,K77,0)</f>
        <v>0</v>
      </c>
      <c r="AK77" s="70">
        <f aca="true" t="shared" si="58" ref="AK77:AK85">IF(AN77=15,K77,0)</f>
        <v>0</v>
      </c>
      <c r="AL77" s="70">
        <f aca="true" t="shared" si="59" ref="AL77:AL85">IF(AN77=21,K77,0)</f>
        <v>0</v>
      </c>
      <c r="AN77" s="70">
        <v>21</v>
      </c>
      <c r="AO77" s="70">
        <f>H77*0</f>
        <v>0</v>
      </c>
      <c r="AP77" s="70">
        <f>H77*(1-0)</f>
        <v>0</v>
      </c>
      <c r="AQ77" s="71" t="s">
        <v>106</v>
      </c>
      <c r="AV77" s="70">
        <f aca="true" t="shared" si="60" ref="AV77:AV85">AW77+AX77</f>
        <v>0</v>
      </c>
      <c r="AW77" s="70">
        <f aca="true" t="shared" si="61" ref="AW77:AW85">G77*AO77</f>
        <v>0</v>
      </c>
      <c r="AX77" s="70">
        <f aca="true" t="shared" si="62" ref="AX77:AX85">G77*AP77</f>
        <v>0</v>
      </c>
      <c r="AY77" s="71" t="s">
        <v>439</v>
      </c>
      <c r="AZ77" s="71" t="s">
        <v>161</v>
      </c>
      <c r="BA77" s="67" t="s">
        <v>162</v>
      </c>
      <c r="BC77" s="70">
        <f aca="true" t="shared" si="63" ref="BC77:BC85">AW77+AX77</f>
        <v>0</v>
      </c>
      <c r="BD77" s="70">
        <f aca="true" t="shared" si="64" ref="BD77:BD85">H77/(100-BE77)*100</f>
        <v>0</v>
      </c>
      <c r="BE77" s="70">
        <v>0</v>
      </c>
      <c r="BF77" s="70">
        <f>77</f>
        <v>77</v>
      </c>
      <c r="BH77" s="70">
        <f aca="true" t="shared" si="65" ref="BH77:BH85">G77*AO77</f>
        <v>0</v>
      </c>
      <c r="BI77" s="70">
        <f aca="true" t="shared" si="66" ref="BI77:BI85">G77*AP77</f>
        <v>0</v>
      </c>
      <c r="BJ77" s="70">
        <f aca="true" t="shared" si="67" ref="BJ77:BJ85">G77*H77</f>
        <v>0</v>
      </c>
    </row>
    <row r="78" spans="1:62" ht="15">
      <c r="A78" s="589" t="s">
        <v>245</v>
      </c>
      <c r="B78" s="589" t="s">
        <v>1036</v>
      </c>
      <c r="C78" s="696" t="s">
        <v>1037</v>
      </c>
      <c r="D78" s="693"/>
      <c r="E78" s="693"/>
      <c r="F78" s="589" t="s">
        <v>253</v>
      </c>
      <c r="G78" s="70">
        <v>49.2</v>
      </c>
      <c r="H78" s="580">
        <v>0</v>
      </c>
      <c r="I78" s="70">
        <f t="shared" si="46"/>
        <v>0</v>
      </c>
      <c r="J78" s="70">
        <f t="shared" si="47"/>
        <v>0</v>
      </c>
      <c r="K78" s="70">
        <f t="shared" si="48"/>
        <v>0</v>
      </c>
      <c r="L78" s="71" t="s">
        <v>120</v>
      </c>
      <c r="Z78" s="70">
        <f t="shared" si="49"/>
        <v>0</v>
      </c>
      <c r="AB78" s="70">
        <f t="shared" si="50"/>
        <v>0</v>
      </c>
      <c r="AC78" s="70">
        <f t="shared" si="51"/>
        <v>0</v>
      </c>
      <c r="AD78" s="70">
        <f t="shared" si="52"/>
        <v>0</v>
      </c>
      <c r="AE78" s="70">
        <f t="shared" si="53"/>
        <v>0</v>
      </c>
      <c r="AF78" s="70">
        <f t="shared" si="54"/>
        <v>0</v>
      </c>
      <c r="AG78" s="70">
        <f t="shared" si="55"/>
        <v>0</v>
      </c>
      <c r="AH78" s="70">
        <f t="shared" si="56"/>
        <v>0</v>
      </c>
      <c r="AI78" s="67" t="s">
        <v>157</v>
      </c>
      <c r="AJ78" s="70">
        <f t="shared" si="57"/>
        <v>0</v>
      </c>
      <c r="AK78" s="70">
        <f t="shared" si="58"/>
        <v>0</v>
      </c>
      <c r="AL78" s="70">
        <f t="shared" si="59"/>
        <v>0</v>
      </c>
      <c r="AN78" s="70">
        <v>21</v>
      </c>
      <c r="AO78" s="70">
        <f>H78*0.446029360680385</f>
        <v>0</v>
      </c>
      <c r="AP78" s="70">
        <f>H78*(1-0.446029360680385)</f>
        <v>0</v>
      </c>
      <c r="AQ78" s="71" t="s">
        <v>106</v>
      </c>
      <c r="AV78" s="70">
        <f t="shared" si="60"/>
        <v>0</v>
      </c>
      <c r="AW78" s="70">
        <f t="shared" si="61"/>
        <v>0</v>
      </c>
      <c r="AX78" s="70">
        <f t="shared" si="62"/>
        <v>0</v>
      </c>
      <c r="AY78" s="71" t="s">
        <v>439</v>
      </c>
      <c r="AZ78" s="71" t="s">
        <v>161</v>
      </c>
      <c r="BA78" s="67" t="s">
        <v>162</v>
      </c>
      <c r="BC78" s="70">
        <f t="shared" si="63"/>
        <v>0</v>
      </c>
      <c r="BD78" s="70">
        <f t="shared" si="64"/>
        <v>0</v>
      </c>
      <c r="BE78" s="70">
        <v>0</v>
      </c>
      <c r="BF78" s="70">
        <f>78</f>
        <v>78</v>
      </c>
      <c r="BH78" s="70">
        <f t="shared" si="65"/>
        <v>0</v>
      </c>
      <c r="BI78" s="70">
        <f t="shared" si="66"/>
        <v>0</v>
      </c>
      <c r="BJ78" s="70">
        <f t="shared" si="67"/>
        <v>0</v>
      </c>
    </row>
    <row r="79" spans="1:62" ht="15">
      <c r="A79" s="589" t="s">
        <v>248</v>
      </c>
      <c r="B79" s="589" t="s">
        <v>1038</v>
      </c>
      <c r="C79" s="696" t="s">
        <v>1039</v>
      </c>
      <c r="D79" s="693"/>
      <c r="E79" s="693"/>
      <c r="F79" s="589" t="s">
        <v>109</v>
      </c>
      <c r="G79" s="70">
        <v>984</v>
      </c>
      <c r="H79" s="580">
        <v>0</v>
      </c>
      <c r="I79" s="70">
        <f t="shared" si="46"/>
        <v>0</v>
      </c>
      <c r="J79" s="70">
        <f t="shared" si="47"/>
        <v>0</v>
      </c>
      <c r="K79" s="70">
        <f t="shared" si="48"/>
        <v>0</v>
      </c>
      <c r="L79" s="71" t="s">
        <v>120</v>
      </c>
      <c r="Z79" s="70">
        <f t="shared" si="49"/>
        <v>0</v>
      </c>
      <c r="AB79" s="70">
        <f t="shared" si="50"/>
        <v>0</v>
      </c>
      <c r="AC79" s="70">
        <f t="shared" si="51"/>
        <v>0</v>
      </c>
      <c r="AD79" s="70">
        <f t="shared" si="52"/>
        <v>0</v>
      </c>
      <c r="AE79" s="70">
        <f t="shared" si="53"/>
        <v>0</v>
      </c>
      <c r="AF79" s="70">
        <f t="shared" si="54"/>
        <v>0</v>
      </c>
      <c r="AG79" s="70">
        <f t="shared" si="55"/>
        <v>0</v>
      </c>
      <c r="AH79" s="70">
        <f t="shared" si="56"/>
        <v>0</v>
      </c>
      <c r="AI79" s="67" t="s">
        <v>157</v>
      </c>
      <c r="AJ79" s="70">
        <f t="shared" si="57"/>
        <v>0</v>
      </c>
      <c r="AK79" s="70">
        <f t="shared" si="58"/>
        <v>0</v>
      </c>
      <c r="AL79" s="70">
        <f t="shared" si="59"/>
        <v>0</v>
      </c>
      <c r="AN79" s="70">
        <v>21</v>
      </c>
      <c r="AO79" s="70">
        <f aca="true" t="shared" si="68" ref="AO79:AO85">H79*0</f>
        <v>0</v>
      </c>
      <c r="AP79" s="70">
        <f aca="true" t="shared" si="69" ref="AP79:AP85">H79*(1-0)</f>
        <v>0</v>
      </c>
      <c r="AQ79" s="71" t="s">
        <v>106</v>
      </c>
      <c r="AV79" s="70">
        <f t="shared" si="60"/>
        <v>0</v>
      </c>
      <c r="AW79" s="70">
        <f t="shared" si="61"/>
        <v>0</v>
      </c>
      <c r="AX79" s="70">
        <f t="shared" si="62"/>
        <v>0</v>
      </c>
      <c r="AY79" s="71" t="s">
        <v>439</v>
      </c>
      <c r="AZ79" s="71" t="s">
        <v>161</v>
      </c>
      <c r="BA79" s="67" t="s">
        <v>162</v>
      </c>
      <c r="BC79" s="70">
        <f t="shared" si="63"/>
        <v>0</v>
      </c>
      <c r="BD79" s="70">
        <f t="shared" si="64"/>
        <v>0</v>
      </c>
      <c r="BE79" s="70">
        <v>0</v>
      </c>
      <c r="BF79" s="70">
        <f>79</f>
        <v>79</v>
      </c>
      <c r="BH79" s="70">
        <f t="shared" si="65"/>
        <v>0</v>
      </c>
      <c r="BI79" s="70">
        <f t="shared" si="66"/>
        <v>0</v>
      </c>
      <c r="BJ79" s="70">
        <f t="shared" si="67"/>
        <v>0</v>
      </c>
    </row>
    <row r="80" spans="1:62" ht="15">
      <c r="A80" s="589" t="s">
        <v>250</v>
      </c>
      <c r="B80" s="589" t="s">
        <v>1040</v>
      </c>
      <c r="C80" s="696" t="s">
        <v>1041</v>
      </c>
      <c r="D80" s="693"/>
      <c r="E80" s="693"/>
      <c r="F80" s="589" t="s">
        <v>109</v>
      </c>
      <c r="G80" s="70">
        <v>984</v>
      </c>
      <c r="H80" s="580">
        <v>0</v>
      </c>
      <c r="I80" s="70">
        <f t="shared" si="46"/>
        <v>0</v>
      </c>
      <c r="J80" s="70">
        <f t="shared" si="47"/>
        <v>0</v>
      </c>
      <c r="K80" s="70">
        <f t="shared" si="48"/>
        <v>0</v>
      </c>
      <c r="L80" s="71" t="s">
        <v>120</v>
      </c>
      <c r="Z80" s="70">
        <f t="shared" si="49"/>
        <v>0</v>
      </c>
      <c r="AB80" s="70">
        <f t="shared" si="50"/>
        <v>0</v>
      </c>
      <c r="AC80" s="70">
        <f t="shared" si="51"/>
        <v>0</v>
      </c>
      <c r="AD80" s="70">
        <f t="shared" si="52"/>
        <v>0</v>
      </c>
      <c r="AE80" s="70">
        <f t="shared" si="53"/>
        <v>0</v>
      </c>
      <c r="AF80" s="70">
        <f t="shared" si="54"/>
        <v>0</v>
      </c>
      <c r="AG80" s="70">
        <f t="shared" si="55"/>
        <v>0</v>
      </c>
      <c r="AH80" s="70">
        <f t="shared" si="56"/>
        <v>0</v>
      </c>
      <c r="AI80" s="67" t="s">
        <v>157</v>
      </c>
      <c r="AJ80" s="70">
        <f t="shared" si="57"/>
        <v>0</v>
      </c>
      <c r="AK80" s="70">
        <f t="shared" si="58"/>
        <v>0</v>
      </c>
      <c r="AL80" s="70">
        <f t="shared" si="59"/>
        <v>0</v>
      </c>
      <c r="AN80" s="70">
        <v>21</v>
      </c>
      <c r="AO80" s="70">
        <f t="shared" si="68"/>
        <v>0</v>
      </c>
      <c r="AP80" s="70">
        <f t="shared" si="69"/>
        <v>0</v>
      </c>
      <c r="AQ80" s="71" t="s">
        <v>106</v>
      </c>
      <c r="AV80" s="70">
        <f t="shared" si="60"/>
        <v>0</v>
      </c>
      <c r="AW80" s="70">
        <f t="shared" si="61"/>
        <v>0</v>
      </c>
      <c r="AX80" s="70">
        <f t="shared" si="62"/>
        <v>0</v>
      </c>
      <c r="AY80" s="71" t="s">
        <v>439</v>
      </c>
      <c r="AZ80" s="71" t="s">
        <v>161</v>
      </c>
      <c r="BA80" s="67" t="s">
        <v>162</v>
      </c>
      <c r="BC80" s="70">
        <f t="shared" si="63"/>
        <v>0</v>
      </c>
      <c r="BD80" s="70">
        <f t="shared" si="64"/>
        <v>0</v>
      </c>
      <c r="BE80" s="70">
        <v>0</v>
      </c>
      <c r="BF80" s="70">
        <f>80</f>
        <v>80</v>
      </c>
      <c r="BH80" s="70">
        <f t="shared" si="65"/>
        <v>0</v>
      </c>
      <c r="BI80" s="70">
        <f t="shared" si="66"/>
        <v>0</v>
      </c>
      <c r="BJ80" s="70">
        <f t="shared" si="67"/>
        <v>0</v>
      </c>
    </row>
    <row r="81" spans="1:62" ht="15">
      <c r="A81" s="72" t="s">
        <v>255</v>
      </c>
      <c r="B81" s="72" t="s">
        <v>1042</v>
      </c>
      <c r="C81" s="712" t="s">
        <v>1043</v>
      </c>
      <c r="D81" s="693"/>
      <c r="E81" s="713"/>
      <c r="F81" s="72" t="s">
        <v>253</v>
      </c>
      <c r="G81" s="73">
        <v>310</v>
      </c>
      <c r="H81" s="581">
        <v>0</v>
      </c>
      <c r="I81" s="73">
        <f t="shared" si="46"/>
        <v>0</v>
      </c>
      <c r="J81" s="73">
        <f t="shared" si="47"/>
        <v>0</v>
      </c>
      <c r="K81" s="73">
        <f t="shared" si="48"/>
        <v>0</v>
      </c>
      <c r="L81" s="74" t="s">
        <v>120</v>
      </c>
      <c r="Z81" s="70">
        <f t="shared" si="49"/>
        <v>0</v>
      </c>
      <c r="AB81" s="70">
        <f t="shared" si="50"/>
        <v>0</v>
      </c>
      <c r="AC81" s="70">
        <f t="shared" si="51"/>
        <v>0</v>
      </c>
      <c r="AD81" s="70">
        <f t="shared" si="52"/>
        <v>0</v>
      </c>
      <c r="AE81" s="70">
        <f t="shared" si="53"/>
        <v>0</v>
      </c>
      <c r="AF81" s="70">
        <f t="shared" si="54"/>
        <v>0</v>
      </c>
      <c r="AG81" s="70">
        <f t="shared" si="55"/>
        <v>0</v>
      </c>
      <c r="AH81" s="70">
        <f t="shared" si="56"/>
        <v>0</v>
      </c>
      <c r="AI81" s="67" t="s">
        <v>157</v>
      </c>
      <c r="AJ81" s="70">
        <f t="shared" si="57"/>
        <v>0</v>
      </c>
      <c r="AK81" s="70">
        <f t="shared" si="58"/>
        <v>0</v>
      </c>
      <c r="AL81" s="70">
        <f t="shared" si="59"/>
        <v>0</v>
      </c>
      <c r="AN81" s="70">
        <v>21</v>
      </c>
      <c r="AO81" s="70">
        <f t="shared" si="68"/>
        <v>0</v>
      </c>
      <c r="AP81" s="70">
        <f t="shared" si="69"/>
        <v>0</v>
      </c>
      <c r="AQ81" s="71" t="s">
        <v>114</v>
      </c>
      <c r="AV81" s="70">
        <f t="shared" si="60"/>
        <v>0</v>
      </c>
      <c r="AW81" s="70">
        <f t="shared" si="61"/>
        <v>0</v>
      </c>
      <c r="AX81" s="70">
        <f t="shared" si="62"/>
        <v>0</v>
      </c>
      <c r="AY81" s="71" t="s">
        <v>439</v>
      </c>
      <c r="AZ81" s="71" t="s">
        <v>161</v>
      </c>
      <c r="BA81" s="67" t="s">
        <v>162</v>
      </c>
      <c r="BC81" s="70">
        <f t="shared" si="63"/>
        <v>0</v>
      </c>
      <c r="BD81" s="70">
        <f t="shared" si="64"/>
        <v>0</v>
      </c>
      <c r="BE81" s="70">
        <v>0</v>
      </c>
      <c r="BF81" s="70">
        <f>81</f>
        <v>81</v>
      </c>
      <c r="BH81" s="70">
        <f t="shared" si="65"/>
        <v>0</v>
      </c>
      <c r="BI81" s="70">
        <f t="shared" si="66"/>
        <v>0</v>
      </c>
      <c r="BJ81" s="70">
        <f t="shared" si="67"/>
        <v>0</v>
      </c>
    </row>
    <row r="82" spans="1:62" ht="15">
      <c r="A82" s="589" t="s">
        <v>258</v>
      </c>
      <c r="B82" s="589" t="s">
        <v>1044</v>
      </c>
      <c r="C82" s="696" t="s">
        <v>1045</v>
      </c>
      <c r="D82" s="693"/>
      <c r="E82" s="693"/>
      <c r="F82" s="589" t="s">
        <v>109</v>
      </c>
      <c r="G82" s="70">
        <v>984</v>
      </c>
      <c r="H82" s="580">
        <v>0</v>
      </c>
      <c r="I82" s="70">
        <f t="shared" si="46"/>
        <v>0</v>
      </c>
      <c r="J82" s="70">
        <f t="shared" si="47"/>
        <v>0</v>
      </c>
      <c r="K82" s="70">
        <f t="shared" si="48"/>
        <v>0</v>
      </c>
      <c r="L82" s="71" t="s">
        <v>120</v>
      </c>
      <c r="Z82" s="70">
        <f t="shared" si="49"/>
        <v>0</v>
      </c>
      <c r="AB82" s="70">
        <f t="shared" si="50"/>
        <v>0</v>
      </c>
      <c r="AC82" s="70">
        <f t="shared" si="51"/>
        <v>0</v>
      </c>
      <c r="AD82" s="70">
        <f t="shared" si="52"/>
        <v>0</v>
      </c>
      <c r="AE82" s="70">
        <f t="shared" si="53"/>
        <v>0</v>
      </c>
      <c r="AF82" s="70">
        <f t="shared" si="54"/>
        <v>0</v>
      </c>
      <c r="AG82" s="70">
        <f t="shared" si="55"/>
        <v>0</v>
      </c>
      <c r="AH82" s="70">
        <f t="shared" si="56"/>
        <v>0</v>
      </c>
      <c r="AI82" s="67" t="s">
        <v>157</v>
      </c>
      <c r="AJ82" s="70">
        <f t="shared" si="57"/>
        <v>0</v>
      </c>
      <c r="AK82" s="70">
        <f t="shared" si="58"/>
        <v>0</v>
      </c>
      <c r="AL82" s="70">
        <f t="shared" si="59"/>
        <v>0</v>
      </c>
      <c r="AN82" s="70">
        <v>21</v>
      </c>
      <c r="AO82" s="70">
        <f t="shared" si="68"/>
        <v>0</v>
      </c>
      <c r="AP82" s="70">
        <f t="shared" si="69"/>
        <v>0</v>
      </c>
      <c r="AQ82" s="71" t="s">
        <v>106</v>
      </c>
      <c r="AV82" s="70">
        <f t="shared" si="60"/>
        <v>0</v>
      </c>
      <c r="AW82" s="70">
        <f t="shared" si="61"/>
        <v>0</v>
      </c>
      <c r="AX82" s="70">
        <f t="shared" si="62"/>
        <v>0</v>
      </c>
      <c r="AY82" s="71" t="s">
        <v>439</v>
      </c>
      <c r="AZ82" s="71" t="s">
        <v>161</v>
      </c>
      <c r="BA82" s="67" t="s">
        <v>162</v>
      </c>
      <c r="BC82" s="70">
        <f t="shared" si="63"/>
        <v>0</v>
      </c>
      <c r="BD82" s="70">
        <f t="shared" si="64"/>
        <v>0</v>
      </c>
      <c r="BE82" s="70">
        <v>0</v>
      </c>
      <c r="BF82" s="70">
        <f>82</f>
        <v>82</v>
      </c>
      <c r="BH82" s="70">
        <f t="shared" si="65"/>
        <v>0</v>
      </c>
      <c r="BI82" s="70">
        <f t="shared" si="66"/>
        <v>0</v>
      </c>
      <c r="BJ82" s="70">
        <f t="shared" si="67"/>
        <v>0</v>
      </c>
    </row>
    <row r="83" spans="1:62" ht="15">
      <c r="A83" s="589" t="s">
        <v>261</v>
      </c>
      <c r="B83" s="589" t="s">
        <v>1040</v>
      </c>
      <c r="C83" s="696" t="s">
        <v>1041</v>
      </c>
      <c r="D83" s="693"/>
      <c r="E83" s="693"/>
      <c r="F83" s="589" t="s">
        <v>109</v>
      </c>
      <c r="G83" s="70">
        <v>984</v>
      </c>
      <c r="H83" s="580">
        <v>0</v>
      </c>
      <c r="I83" s="70">
        <f t="shared" si="46"/>
        <v>0</v>
      </c>
      <c r="J83" s="70">
        <f t="shared" si="47"/>
        <v>0</v>
      </c>
      <c r="K83" s="70">
        <f t="shared" si="48"/>
        <v>0</v>
      </c>
      <c r="L83" s="71" t="s">
        <v>120</v>
      </c>
      <c r="Z83" s="70">
        <f t="shared" si="49"/>
        <v>0</v>
      </c>
      <c r="AB83" s="70">
        <f t="shared" si="50"/>
        <v>0</v>
      </c>
      <c r="AC83" s="70">
        <f t="shared" si="51"/>
        <v>0</v>
      </c>
      <c r="AD83" s="70">
        <f t="shared" si="52"/>
        <v>0</v>
      </c>
      <c r="AE83" s="70">
        <f t="shared" si="53"/>
        <v>0</v>
      </c>
      <c r="AF83" s="70">
        <f t="shared" si="54"/>
        <v>0</v>
      </c>
      <c r="AG83" s="70">
        <f t="shared" si="55"/>
        <v>0</v>
      </c>
      <c r="AH83" s="70">
        <f t="shared" si="56"/>
        <v>0</v>
      </c>
      <c r="AI83" s="67" t="s">
        <v>157</v>
      </c>
      <c r="AJ83" s="70">
        <f t="shared" si="57"/>
        <v>0</v>
      </c>
      <c r="AK83" s="70">
        <f t="shared" si="58"/>
        <v>0</v>
      </c>
      <c r="AL83" s="70">
        <f t="shared" si="59"/>
        <v>0</v>
      </c>
      <c r="AN83" s="70">
        <v>21</v>
      </c>
      <c r="AO83" s="70">
        <f t="shared" si="68"/>
        <v>0</v>
      </c>
      <c r="AP83" s="70">
        <f t="shared" si="69"/>
        <v>0</v>
      </c>
      <c r="AQ83" s="71" t="s">
        <v>106</v>
      </c>
      <c r="AV83" s="70">
        <f t="shared" si="60"/>
        <v>0</v>
      </c>
      <c r="AW83" s="70">
        <f t="shared" si="61"/>
        <v>0</v>
      </c>
      <c r="AX83" s="70">
        <f t="shared" si="62"/>
        <v>0</v>
      </c>
      <c r="AY83" s="71" t="s">
        <v>439</v>
      </c>
      <c r="AZ83" s="71" t="s">
        <v>161</v>
      </c>
      <c r="BA83" s="67" t="s">
        <v>162</v>
      </c>
      <c r="BC83" s="70">
        <f t="shared" si="63"/>
        <v>0</v>
      </c>
      <c r="BD83" s="70">
        <f t="shared" si="64"/>
        <v>0</v>
      </c>
      <c r="BE83" s="70">
        <v>0</v>
      </c>
      <c r="BF83" s="70">
        <f>83</f>
        <v>83</v>
      </c>
      <c r="BH83" s="70">
        <f t="shared" si="65"/>
        <v>0</v>
      </c>
      <c r="BI83" s="70">
        <f t="shared" si="66"/>
        <v>0</v>
      </c>
      <c r="BJ83" s="70">
        <f t="shared" si="67"/>
        <v>0</v>
      </c>
    </row>
    <row r="84" spans="1:62" ht="15">
      <c r="A84" s="72" t="s">
        <v>263</v>
      </c>
      <c r="B84" s="72" t="s">
        <v>1046</v>
      </c>
      <c r="C84" s="712" t="s">
        <v>1047</v>
      </c>
      <c r="D84" s="693"/>
      <c r="E84" s="713"/>
      <c r="F84" s="72" t="s">
        <v>109</v>
      </c>
      <c r="G84" s="73">
        <v>984</v>
      </c>
      <c r="H84" s="581">
        <v>0</v>
      </c>
      <c r="I84" s="73">
        <f t="shared" si="46"/>
        <v>0</v>
      </c>
      <c r="J84" s="73">
        <f t="shared" si="47"/>
        <v>0</v>
      </c>
      <c r="K84" s="73">
        <f t="shared" si="48"/>
        <v>0</v>
      </c>
      <c r="L84" s="74" t="s">
        <v>120</v>
      </c>
      <c r="Z84" s="70">
        <f t="shared" si="49"/>
        <v>0</v>
      </c>
      <c r="AB84" s="70">
        <f t="shared" si="50"/>
        <v>0</v>
      </c>
      <c r="AC84" s="70">
        <f t="shared" si="51"/>
        <v>0</v>
      </c>
      <c r="AD84" s="70">
        <f t="shared" si="52"/>
        <v>0</v>
      </c>
      <c r="AE84" s="70">
        <f t="shared" si="53"/>
        <v>0</v>
      </c>
      <c r="AF84" s="70">
        <f t="shared" si="54"/>
        <v>0</v>
      </c>
      <c r="AG84" s="70">
        <f t="shared" si="55"/>
        <v>0</v>
      </c>
      <c r="AH84" s="70">
        <f t="shared" si="56"/>
        <v>0</v>
      </c>
      <c r="AI84" s="67" t="s">
        <v>157</v>
      </c>
      <c r="AJ84" s="70">
        <f t="shared" si="57"/>
        <v>0</v>
      </c>
      <c r="AK84" s="70">
        <f t="shared" si="58"/>
        <v>0</v>
      </c>
      <c r="AL84" s="70">
        <f t="shared" si="59"/>
        <v>0</v>
      </c>
      <c r="AN84" s="70">
        <v>21</v>
      </c>
      <c r="AO84" s="70">
        <f t="shared" si="68"/>
        <v>0</v>
      </c>
      <c r="AP84" s="70">
        <f t="shared" si="69"/>
        <v>0</v>
      </c>
      <c r="AQ84" s="71" t="s">
        <v>106</v>
      </c>
      <c r="AV84" s="70">
        <f t="shared" si="60"/>
        <v>0</v>
      </c>
      <c r="AW84" s="70">
        <f t="shared" si="61"/>
        <v>0</v>
      </c>
      <c r="AX84" s="70">
        <f t="shared" si="62"/>
        <v>0</v>
      </c>
      <c r="AY84" s="71" t="s">
        <v>439</v>
      </c>
      <c r="AZ84" s="71" t="s">
        <v>161</v>
      </c>
      <c r="BA84" s="67" t="s">
        <v>162</v>
      </c>
      <c r="BC84" s="70">
        <f t="shared" si="63"/>
        <v>0</v>
      </c>
      <c r="BD84" s="70">
        <f t="shared" si="64"/>
        <v>0</v>
      </c>
      <c r="BE84" s="70">
        <v>0</v>
      </c>
      <c r="BF84" s="70">
        <f>84</f>
        <v>84</v>
      </c>
      <c r="BH84" s="70">
        <f t="shared" si="65"/>
        <v>0</v>
      </c>
      <c r="BI84" s="70">
        <f t="shared" si="66"/>
        <v>0</v>
      </c>
      <c r="BJ84" s="70">
        <f t="shared" si="67"/>
        <v>0</v>
      </c>
    </row>
    <row r="85" spans="1:62" ht="15">
      <c r="A85" s="589" t="s">
        <v>268</v>
      </c>
      <c r="B85" s="589" t="s">
        <v>1048</v>
      </c>
      <c r="C85" s="696" t="s">
        <v>1049</v>
      </c>
      <c r="D85" s="693"/>
      <c r="E85" s="693"/>
      <c r="F85" s="589" t="s">
        <v>674</v>
      </c>
      <c r="G85" s="70">
        <v>18230</v>
      </c>
      <c r="H85" s="580">
        <v>0</v>
      </c>
      <c r="I85" s="70">
        <f t="shared" si="46"/>
        <v>0</v>
      </c>
      <c r="J85" s="70">
        <f t="shared" si="47"/>
        <v>0</v>
      </c>
      <c r="K85" s="70">
        <f t="shared" si="48"/>
        <v>0</v>
      </c>
      <c r="L85" s="71" t="s">
        <v>120</v>
      </c>
      <c r="Z85" s="70">
        <f t="shared" si="49"/>
        <v>0</v>
      </c>
      <c r="AB85" s="70">
        <f t="shared" si="50"/>
        <v>0</v>
      </c>
      <c r="AC85" s="70">
        <f t="shared" si="51"/>
        <v>0</v>
      </c>
      <c r="AD85" s="70">
        <f t="shared" si="52"/>
        <v>0</v>
      </c>
      <c r="AE85" s="70">
        <f t="shared" si="53"/>
        <v>0</v>
      </c>
      <c r="AF85" s="70">
        <f t="shared" si="54"/>
        <v>0</v>
      </c>
      <c r="AG85" s="70">
        <f t="shared" si="55"/>
        <v>0</v>
      </c>
      <c r="AH85" s="70">
        <f t="shared" si="56"/>
        <v>0</v>
      </c>
      <c r="AI85" s="67" t="s">
        <v>157</v>
      </c>
      <c r="AJ85" s="70">
        <f t="shared" si="57"/>
        <v>0</v>
      </c>
      <c r="AK85" s="70">
        <f t="shared" si="58"/>
        <v>0</v>
      </c>
      <c r="AL85" s="70">
        <f t="shared" si="59"/>
        <v>0</v>
      </c>
      <c r="AN85" s="70">
        <v>21</v>
      </c>
      <c r="AO85" s="70">
        <f t="shared" si="68"/>
        <v>0</v>
      </c>
      <c r="AP85" s="70">
        <f t="shared" si="69"/>
        <v>0</v>
      </c>
      <c r="AQ85" s="71" t="s">
        <v>106</v>
      </c>
      <c r="AV85" s="70">
        <f t="shared" si="60"/>
        <v>0</v>
      </c>
      <c r="AW85" s="70">
        <f t="shared" si="61"/>
        <v>0</v>
      </c>
      <c r="AX85" s="70">
        <f t="shared" si="62"/>
        <v>0</v>
      </c>
      <c r="AY85" s="71" t="s">
        <v>439</v>
      </c>
      <c r="AZ85" s="71" t="s">
        <v>161</v>
      </c>
      <c r="BA85" s="67" t="s">
        <v>162</v>
      </c>
      <c r="BC85" s="70">
        <f t="shared" si="63"/>
        <v>0</v>
      </c>
      <c r="BD85" s="70">
        <f t="shared" si="64"/>
        <v>0</v>
      </c>
      <c r="BE85" s="70">
        <v>0</v>
      </c>
      <c r="BF85" s="70">
        <f>85</f>
        <v>85</v>
      </c>
      <c r="BH85" s="70">
        <f t="shared" si="65"/>
        <v>0</v>
      </c>
      <c r="BI85" s="70">
        <f t="shared" si="66"/>
        <v>0</v>
      </c>
      <c r="BJ85" s="70">
        <f t="shared" si="67"/>
        <v>0</v>
      </c>
    </row>
    <row r="86" spans="2:12" ht="64.05" customHeight="1">
      <c r="B86" s="75" t="s">
        <v>67</v>
      </c>
      <c r="C86" s="725" t="s">
        <v>1050</v>
      </c>
      <c r="D86" s="726"/>
      <c r="E86" s="726"/>
      <c r="F86" s="726"/>
      <c r="G86" s="726"/>
      <c r="H86" s="726"/>
      <c r="I86" s="726"/>
      <c r="J86" s="726"/>
      <c r="K86" s="726"/>
      <c r="L86" s="726"/>
    </row>
    <row r="87" spans="1:62" ht="15">
      <c r="A87" s="589" t="s">
        <v>271</v>
      </c>
      <c r="B87" s="589" t="s">
        <v>1051</v>
      </c>
      <c r="C87" s="696" t="s">
        <v>1052</v>
      </c>
      <c r="D87" s="693"/>
      <c r="E87" s="693"/>
      <c r="F87" s="589" t="s">
        <v>674</v>
      </c>
      <c r="G87" s="70">
        <v>1784</v>
      </c>
      <c r="H87" s="580">
        <v>0</v>
      </c>
      <c r="I87" s="70">
        <f>G87*AO87</f>
        <v>0</v>
      </c>
      <c r="J87" s="70">
        <f>G87*AP87</f>
        <v>0</v>
      </c>
      <c r="K87" s="70">
        <f>G87*H87</f>
        <v>0</v>
      </c>
      <c r="L87" s="71" t="s">
        <v>120</v>
      </c>
      <c r="Z87" s="70">
        <f>IF(AQ87="5",BJ87,0)</f>
        <v>0</v>
      </c>
      <c r="AB87" s="70">
        <f>IF(AQ87="1",BH87,0)</f>
        <v>0</v>
      </c>
      <c r="AC87" s="70">
        <f>IF(AQ87="1",BI87,0)</f>
        <v>0</v>
      </c>
      <c r="AD87" s="70">
        <f>IF(AQ87="7",BH87,0)</f>
        <v>0</v>
      </c>
      <c r="AE87" s="70">
        <f>IF(AQ87="7",BI87,0)</f>
        <v>0</v>
      </c>
      <c r="AF87" s="70">
        <f>IF(AQ87="2",BH87,0)</f>
        <v>0</v>
      </c>
      <c r="AG87" s="70">
        <f>IF(AQ87="2",BI87,0)</f>
        <v>0</v>
      </c>
      <c r="AH87" s="70">
        <f>IF(AQ87="0",BJ87,0)</f>
        <v>0</v>
      </c>
      <c r="AI87" s="67" t="s">
        <v>157</v>
      </c>
      <c r="AJ87" s="70">
        <f>IF(AN87=0,K87,0)</f>
        <v>0</v>
      </c>
      <c r="AK87" s="70">
        <f>IF(AN87=15,K87,0)</f>
        <v>0</v>
      </c>
      <c r="AL87" s="70">
        <f>IF(AN87=21,K87,0)</f>
        <v>0</v>
      </c>
      <c r="AN87" s="70">
        <v>21</v>
      </c>
      <c r="AO87" s="70">
        <f>H87*0.00948012232415902</f>
        <v>0</v>
      </c>
      <c r="AP87" s="70">
        <f>H87*(1-0.00948012232415902)</f>
        <v>0</v>
      </c>
      <c r="AQ87" s="71" t="s">
        <v>106</v>
      </c>
      <c r="AV87" s="70">
        <f>AW87+AX87</f>
        <v>0</v>
      </c>
      <c r="AW87" s="70">
        <f>G87*AO87</f>
        <v>0</v>
      </c>
      <c r="AX87" s="70">
        <f>G87*AP87</f>
        <v>0</v>
      </c>
      <c r="AY87" s="71" t="s">
        <v>439</v>
      </c>
      <c r="AZ87" s="71" t="s">
        <v>161</v>
      </c>
      <c r="BA87" s="67" t="s">
        <v>162</v>
      </c>
      <c r="BC87" s="70">
        <f>AW87+AX87</f>
        <v>0</v>
      </c>
      <c r="BD87" s="70">
        <f>H87/(100-BE87)*100</f>
        <v>0</v>
      </c>
      <c r="BE87" s="70">
        <v>0</v>
      </c>
      <c r="BF87" s="70">
        <f>87</f>
        <v>87</v>
      </c>
      <c r="BH87" s="70">
        <f>G87*AO87</f>
        <v>0</v>
      </c>
      <c r="BI87" s="70">
        <f>G87*AP87</f>
        <v>0</v>
      </c>
      <c r="BJ87" s="70">
        <f>G87*H87</f>
        <v>0</v>
      </c>
    </row>
    <row r="88" spans="2:12" ht="25.35" customHeight="1">
      <c r="B88" s="75" t="s">
        <v>67</v>
      </c>
      <c r="C88" s="725" t="s">
        <v>1053</v>
      </c>
      <c r="D88" s="726"/>
      <c r="E88" s="726"/>
      <c r="F88" s="726"/>
      <c r="G88" s="726"/>
      <c r="H88" s="726"/>
      <c r="I88" s="726"/>
      <c r="J88" s="726"/>
      <c r="K88" s="726"/>
      <c r="L88" s="726"/>
    </row>
    <row r="89" spans="1:62" ht="15">
      <c r="A89" s="589" t="s">
        <v>273</v>
      </c>
      <c r="B89" s="589" t="s">
        <v>1054</v>
      </c>
      <c r="C89" s="696" t="s">
        <v>1055</v>
      </c>
      <c r="D89" s="693"/>
      <c r="E89" s="693"/>
      <c r="F89" s="589" t="s">
        <v>674</v>
      </c>
      <c r="G89" s="70">
        <v>3381</v>
      </c>
      <c r="H89" s="580">
        <v>0</v>
      </c>
      <c r="I89" s="70">
        <f>G89*AO89</f>
        <v>0</v>
      </c>
      <c r="J89" s="70">
        <f>G89*AP89</f>
        <v>0</v>
      </c>
      <c r="K89" s="70">
        <f>G89*H89</f>
        <v>0</v>
      </c>
      <c r="L89" s="71" t="s">
        <v>120</v>
      </c>
      <c r="Z89" s="70">
        <f>IF(AQ89="5",BJ89,0)</f>
        <v>0</v>
      </c>
      <c r="AB89" s="70">
        <f>IF(AQ89="1",BH89,0)</f>
        <v>0</v>
      </c>
      <c r="AC89" s="70">
        <f>IF(AQ89="1",BI89,0)</f>
        <v>0</v>
      </c>
      <c r="AD89" s="70">
        <f>IF(AQ89="7",BH89,0)</f>
        <v>0</v>
      </c>
      <c r="AE89" s="70">
        <f>IF(AQ89="7",BI89,0)</f>
        <v>0</v>
      </c>
      <c r="AF89" s="70">
        <f>IF(AQ89="2",BH89,0)</f>
        <v>0</v>
      </c>
      <c r="AG89" s="70">
        <f>IF(AQ89="2",BI89,0)</f>
        <v>0</v>
      </c>
      <c r="AH89" s="70">
        <f>IF(AQ89="0",BJ89,0)</f>
        <v>0</v>
      </c>
      <c r="AI89" s="67" t="s">
        <v>157</v>
      </c>
      <c r="AJ89" s="70">
        <f>IF(AN89=0,K89,0)</f>
        <v>0</v>
      </c>
      <c r="AK89" s="70">
        <f>IF(AN89=15,K89,0)</f>
        <v>0</v>
      </c>
      <c r="AL89" s="70">
        <f>IF(AN89=21,K89,0)</f>
        <v>0</v>
      </c>
      <c r="AN89" s="70">
        <v>21</v>
      </c>
      <c r="AO89" s="70">
        <f>H89*0.00983606557377049</f>
        <v>0</v>
      </c>
      <c r="AP89" s="70">
        <f>H89*(1-0.00983606557377049)</f>
        <v>0</v>
      </c>
      <c r="AQ89" s="71" t="s">
        <v>106</v>
      </c>
      <c r="AV89" s="70">
        <f>AW89+AX89</f>
        <v>0</v>
      </c>
      <c r="AW89" s="70">
        <f>G89*AO89</f>
        <v>0</v>
      </c>
      <c r="AX89" s="70">
        <f>G89*AP89</f>
        <v>0</v>
      </c>
      <c r="AY89" s="71" t="s">
        <v>439</v>
      </c>
      <c r="AZ89" s="71" t="s">
        <v>161</v>
      </c>
      <c r="BA89" s="67" t="s">
        <v>162</v>
      </c>
      <c r="BC89" s="70">
        <f>AW89+AX89</f>
        <v>0</v>
      </c>
      <c r="BD89" s="70">
        <f>H89/(100-BE89)*100</f>
        <v>0</v>
      </c>
      <c r="BE89" s="70">
        <v>0</v>
      </c>
      <c r="BF89" s="70">
        <f>89</f>
        <v>89</v>
      </c>
      <c r="BH89" s="70">
        <f>G89*AO89</f>
        <v>0</v>
      </c>
      <c r="BI89" s="70">
        <f>G89*AP89</f>
        <v>0</v>
      </c>
      <c r="BJ89" s="70">
        <f>G89*H89</f>
        <v>0</v>
      </c>
    </row>
    <row r="90" spans="2:12" ht="25.35" customHeight="1">
      <c r="B90" s="75" t="s">
        <v>67</v>
      </c>
      <c r="C90" s="725" t="s">
        <v>1056</v>
      </c>
      <c r="D90" s="726"/>
      <c r="E90" s="726"/>
      <c r="F90" s="726"/>
      <c r="G90" s="726"/>
      <c r="H90" s="726"/>
      <c r="I90" s="726"/>
      <c r="J90" s="726"/>
      <c r="K90" s="726"/>
      <c r="L90" s="726"/>
    </row>
    <row r="91" spans="1:62" ht="15">
      <c r="A91" s="589" t="s">
        <v>276</v>
      </c>
      <c r="B91" s="589" t="s">
        <v>1057</v>
      </c>
      <c r="C91" s="696" t="s">
        <v>1058</v>
      </c>
      <c r="D91" s="693"/>
      <c r="E91" s="693"/>
      <c r="F91" s="589" t="s">
        <v>674</v>
      </c>
      <c r="G91" s="70">
        <v>13065</v>
      </c>
      <c r="H91" s="580">
        <v>0</v>
      </c>
      <c r="I91" s="70">
        <f>G91*AO91</f>
        <v>0</v>
      </c>
      <c r="J91" s="70">
        <f>G91*AP91</f>
        <v>0</v>
      </c>
      <c r="K91" s="70">
        <f>G91*H91</f>
        <v>0</v>
      </c>
      <c r="L91" s="71" t="s">
        <v>120</v>
      </c>
      <c r="Z91" s="70">
        <f>IF(AQ91="5",BJ91,0)</f>
        <v>0</v>
      </c>
      <c r="AB91" s="70">
        <f>IF(AQ91="1",BH91,0)</f>
        <v>0</v>
      </c>
      <c r="AC91" s="70">
        <f>IF(AQ91="1",BI91,0)</f>
        <v>0</v>
      </c>
      <c r="AD91" s="70">
        <f>IF(AQ91="7",BH91,0)</f>
        <v>0</v>
      </c>
      <c r="AE91" s="70">
        <f>IF(AQ91="7",BI91,0)</f>
        <v>0</v>
      </c>
      <c r="AF91" s="70">
        <f>IF(AQ91="2",BH91,0)</f>
        <v>0</v>
      </c>
      <c r="AG91" s="70">
        <f>IF(AQ91="2",BI91,0)</f>
        <v>0</v>
      </c>
      <c r="AH91" s="70">
        <f>IF(AQ91="0",BJ91,0)</f>
        <v>0</v>
      </c>
      <c r="AI91" s="67" t="s">
        <v>157</v>
      </c>
      <c r="AJ91" s="70">
        <f>IF(AN91=0,K91,0)</f>
        <v>0</v>
      </c>
      <c r="AK91" s="70">
        <f>IF(AN91=15,K91,0)</f>
        <v>0</v>
      </c>
      <c r="AL91" s="70">
        <f>IF(AN91=21,K91,0)</f>
        <v>0</v>
      </c>
      <c r="AN91" s="70">
        <v>21</v>
      </c>
      <c r="AO91" s="70">
        <f>H91*0.0164759725400458</f>
        <v>0</v>
      </c>
      <c r="AP91" s="70">
        <f>H91*(1-0.0164759725400458)</f>
        <v>0</v>
      </c>
      <c r="AQ91" s="71" t="s">
        <v>106</v>
      </c>
      <c r="AV91" s="70">
        <f>AW91+AX91</f>
        <v>0</v>
      </c>
      <c r="AW91" s="70">
        <f>G91*AO91</f>
        <v>0</v>
      </c>
      <c r="AX91" s="70">
        <f>G91*AP91</f>
        <v>0</v>
      </c>
      <c r="AY91" s="71" t="s">
        <v>439</v>
      </c>
      <c r="AZ91" s="71" t="s">
        <v>161</v>
      </c>
      <c r="BA91" s="67" t="s">
        <v>162</v>
      </c>
      <c r="BC91" s="70">
        <f>AW91+AX91</f>
        <v>0</v>
      </c>
      <c r="BD91" s="70">
        <f>H91/(100-BE91)*100</f>
        <v>0</v>
      </c>
      <c r="BE91" s="70">
        <v>0</v>
      </c>
      <c r="BF91" s="70">
        <f>91</f>
        <v>91</v>
      </c>
      <c r="BH91" s="70">
        <f>G91*AO91</f>
        <v>0</v>
      </c>
      <c r="BI91" s="70">
        <f>G91*AP91</f>
        <v>0</v>
      </c>
      <c r="BJ91" s="70">
        <f>G91*H91</f>
        <v>0</v>
      </c>
    </row>
    <row r="92" spans="1:62" ht="15">
      <c r="A92" s="72" t="s">
        <v>279</v>
      </c>
      <c r="B92" s="72" t="s">
        <v>1059</v>
      </c>
      <c r="C92" s="712" t="s">
        <v>1060</v>
      </c>
      <c r="D92" s="693"/>
      <c r="E92" s="713"/>
      <c r="F92" s="72" t="s">
        <v>109</v>
      </c>
      <c r="G92" s="73">
        <v>984</v>
      </c>
      <c r="H92" s="581">
        <v>0</v>
      </c>
      <c r="I92" s="73">
        <f>G92*AO92</f>
        <v>0</v>
      </c>
      <c r="J92" s="73">
        <f>G92*AP92</f>
        <v>0</v>
      </c>
      <c r="K92" s="73">
        <f>G92*H92</f>
        <v>0</v>
      </c>
      <c r="L92" s="74" t="s">
        <v>120</v>
      </c>
      <c r="Z92" s="70">
        <f>IF(AQ92="5",BJ92,0)</f>
        <v>0</v>
      </c>
      <c r="AB92" s="70">
        <f>IF(AQ92="1",BH92,0)</f>
        <v>0</v>
      </c>
      <c r="AC92" s="70">
        <f>IF(AQ92="1",BI92,0)</f>
        <v>0</v>
      </c>
      <c r="AD92" s="70">
        <f>IF(AQ92="7",BH92,0)</f>
        <v>0</v>
      </c>
      <c r="AE92" s="70">
        <f>IF(AQ92="7",BI92,0)</f>
        <v>0</v>
      </c>
      <c r="AF92" s="70">
        <f>IF(AQ92="2",BH92,0)</f>
        <v>0</v>
      </c>
      <c r="AG92" s="70">
        <f>IF(AQ92="2",BI92,0)</f>
        <v>0</v>
      </c>
      <c r="AH92" s="70">
        <f>IF(AQ92="0",BJ92,0)</f>
        <v>0</v>
      </c>
      <c r="AI92" s="67" t="s">
        <v>157</v>
      </c>
      <c r="AJ92" s="70">
        <f>IF(AN92=0,K92,0)</f>
        <v>0</v>
      </c>
      <c r="AK92" s="70">
        <f>IF(AN92=15,K92,0)</f>
        <v>0</v>
      </c>
      <c r="AL92" s="70">
        <f>IF(AN92=21,K92,0)</f>
        <v>0</v>
      </c>
      <c r="AN92" s="70">
        <v>21</v>
      </c>
      <c r="AO92" s="70">
        <f>H92*0</f>
        <v>0</v>
      </c>
      <c r="AP92" s="70">
        <f>H92*(1-0)</f>
        <v>0</v>
      </c>
      <c r="AQ92" s="71" t="s">
        <v>106</v>
      </c>
      <c r="AV92" s="70">
        <f>AW92+AX92</f>
        <v>0</v>
      </c>
      <c r="AW92" s="70">
        <f>G92*AO92</f>
        <v>0</v>
      </c>
      <c r="AX92" s="70">
        <f>G92*AP92</f>
        <v>0</v>
      </c>
      <c r="AY92" s="71" t="s">
        <v>439</v>
      </c>
      <c r="AZ92" s="71" t="s">
        <v>161</v>
      </c>
      <c r="BA92" s="67" t="s">
        <v>162</v>
      </c>
      <c r="BC92" s="70">
        <f>AW92+AX92</f>
        <v>0</v>
      </c>
      <c r="BD92" s="70">
        <f>H92/(100-BE92)*100</f>
        <v>0</v>
      </c>
      <c r="BE92" s="70">
        <v>0</v>
      </c>
      <c r="BF92" s="70">
        <f>92</f>
        <v>92</v>
      </c>
      <c r="BH92" s="70">
        <f>G92*AO92</f>
        <v>0</v>
      </c>
      <c r="BI92" s="70">
        <f>G92*AP92</f>
        <v>0</v>
      </c>
      <c r="BJ92" s="70">
        <f>G92*H92</f>
        <v>0</v>
      </c>
    </row>
    <row r="93" spans="2:12" ht="25.35" customHeight="1">
      <c r="B93" s="75" t="s">
        <v>67</v>
      </c>
      <c r="C93" s="725" t="s">
        <v>1061</v>
      </c>
      <c r="D93" s="726"/>
      <c r="E93" s="726"/>
      <c r="F93" s="726"/>
      <c r="G93" s="726"/>
      <c r="H93" s="726"/>
      <c r="I93" s="726"/>
      <c r="J93" s="726"/>
      <c r="K93" s="726"/>
      <c r="L93" s="726"/>
    </row>
    <row r="94" spans="1:62" ht="15">
      <c r="A94" s="589" t="s">
        <v>286</v>
      </c>
      <c r="B94" s="589" t="s">
        <v>994</v>
      </c>
      <c r="C94" s="696" t="s">
        <v>1062</v>
      </c>
      <c r="D94" s="693"/>
      <c r="E94" s="693"/>
      <c r="F94" s="589" t="s">
        <v>253</v>
      </c>
      <c r="G94" s="70">
        <v>40</v>
      </c>
      <c r="H94" s="580">
        <v>0</v>
      </c>
      <c r="I94" s="70">
        <f>G94*AO94</f>
        <v>0</v>
      </c>
      <c r="J94" s="70">
        <f>G94*AP94</f>
        <v>0</v>
      </c>
      <c r="K94" s="70">
        <f>G94*H94</f>
        <v>0</v>
      </c>
      <c r="L94" s="71" t="s">
        <v>996</v>
      </c>
      <c r="Z94" s="70">
        <f>IF(AQ94="5",BJ94,0)</f>
        <v>0</v>
      </c>
      <c r="AB94" s="70">
        <f>IF(AQ94="1",BH94,0)</f>
        <v>0</v>
      </c>
      <c r="AC94" s="70">
        <f>IF(AQ94="1",BI94,0)</f>
        <v>0</v>
      </c>
      <c r="AD94" s="70">
        <f>IF(AQ94="7",BH94,0)</f>
        <v>0</v>
      </c>
      <c r="AE94" s="70">
        <f>IF(AQ94="7",BI94,0)</f>
        <v>0</v>
      </c>
      <c r="AF94" s="70">
        <f>IF(AQ94="2",BH94,0)</f>
        <v>0</v>
      </c>
      <c r="AG94" s="70">
        <f>IF(AQ94="2",BI94,0)</f>
        <v>0</v>
      </c>
      <c r="AH94" s="70">
        <f>IF(AQ94="0",BJ94,0)</f>
        <v>0</v>
      </c>
      <c r="AI94" s="67" t="s">
        <v>157</v>
      </c>
      <c r="AJ94" s="70">
        <f>IF(AN94=0,K94,0)</f>
        <v>0</v>
      </c>
      <c r="AK94" s="70">
        <f>IF(AN94=15,K94,0)</f>
        <v>0</v>
      </c>
      <c r="AL94" s="70">
        <f>IF(AN94=21,K94,0)</f>
        <v>0</v>
      </c>
      <c r="AN94" s="70">
        <v>21</v>
      </c>
      <c r="AO94" s="70">
        <f>H94*0</f>
        <v>0</v>
      </c>
      <c r="AP94" s="70">
        <f>H94*(1-0)</f>
        <v>0</v>
      </c>
      <c r="AQ94" s="71" t="s">
        <v>106</v>
      </c>
      <c r="AV94" s="70">
        <f>AW94+AX94</f>
        <v>0</v>
      </c>
      <c r="AW94" s="70">
        <f>G94*AO94</f>
        <v>0</v>
      </c>
      <c r="AX94" s="70">
        <f>G94*AP94</f>
        <v>0</v>
      </c>
      <c r="AY94" s="71" t="s">
        <v>439</v>
      </c>
      <c r="AZ94" s="71" t="s">
        <v>161</v>
      </c>
      <c r="BA94" s="67" t="s">
        <v>162</v>
      </c>
      <c r="BC94" s="70">
        <f>AW94+AX94</f>
        <v>0</v>
      </c>
      <c r="BD94" s="70">
        <f>H94/(100-BE94)*100</f>
        <v>0</v>
      </c>
      <c r="BE94" s="70">
        <v>0</v>
      </c>
      <c r="BF94" s="70">
        <f>94</f>
        <v>94</v>
      </c>
      <c r="BH94" s="70">
        <f>G94*AO94</f>
        <v>0</v>
      </c>
      <c r="BI94" s="70">
        <f>G94*AP94</f>
        <v>0</v>
      </c>
      <c r="BJ94" s="70">
        <f>G94*H94</f>
        <v>0</v>
      </c>
    </row>
    <row r="95" spans="1:47" ht="15">
      <c r="A95" s="88"/>
      <c r="B95" s="591" t="s">
        <v>314</v>
      </c>
      <c r="C95" s="710" t="s">
        <v>327</v>
      </c>
      <c r="D95" s="711"/>
      <c r="E95" s="711"/>
      <c r="F95" s="88" t="s">
        <v>70</v>
      </c>
      <c r="G95" s="88" t="s">
        <v>70</v>
      </c>
      <c r="H95" s="624" t="s">
        <v>70</v>
      </c>
      <c r="I95" s="90">
        <f>SUM(I96:I96)</f>
        <v>0</v>
      </c>
      <c r="J95" s="90">
        <f>SUM(J96:J96)</f>
        <v>0</v>
      </c>
      <c r="K95" s="90">
        <f>SUM(K96:K96)</f>
        <v>0</v>
      </c>
      <c r="L95" s="91"/>
      <c r="AI95" s="67" t="s">
        <v>157</v>
      </c>
      <c r="AS95" s="68">
        <f>SUM(AJ96:AJ96)</f>
        <v>0</v>
      </c>
      <c r="AT95" s="68">
        <f>SUM(AK96:AK96)</f>
        <v>0</v>
      </c>
      <c r="AU95" s="68">
        <f>SUM(AL96:AL96)</f>
        <v>0</v>
      </c>
    </row>
    <row r="96" spans="1:62" ht="15">
      <c r="A96" s="589" t="s">
        <v>290</v>
      </c>
      <c r="B96" s="589" t="s">
        <v>335</v>
      </c>
      <c r="C96" s="696" t="s">
        <v>1063</v>
      </c>
      <c r="D96" s="693"/>
      <c r="E96" s="693"/>
      <c r="F96" s="589" t="s">
        <v>337</v>
      </c>
      <c r="G96" s="70">
        <v>3600</v>
      </c>
      <c r="H96" s="580">
        <v>0</v>
      </c>
      <c r="I96" s="70">
        <f>G96*AO96</f>
        <v>0</v>
      </c>
      <c r="J96" s="70">
        <f>G96*AP96</f>
        <v>0</v>
      </c>
      <c r="K96" s="70">
        <f>G96*H96</f>
        <v>0</v>
      </c>
      <c r="L96" s="71"/>
      <c r="Z96" s="70">
        <f>IF(AQ96="5",BJ96,0)</f>
        <v>0</v>
      </c>
      <c r="AB96" s="70">
        <f>IF(AQ96="1",BH96,0)</f>
        <v>0</v>
      </c>
      <c r="AC96" s="70">
        <f>IF(AQ96="1",BI96,0)</f>
        <v>0</v>
      </c>
      <c r="AD96" s="70">
        <f>IF(AQ96="7",BH96,0)</f>
        <v>0</v>
      </c>
      <c r="AE96" s="70">
        <f>IF(AQ96="7",BI96,0)</f>
        <v>0</v>
      </c>
      <c r="AF96" s="70">
        <f>IF(AQ96="2",BH96,0)</f>
        <v>0</v>
      </c>
      <c r="AG96" s="70">
        <f>IF(AQ96="2",BI96,0)</f>
        <v>0</v>
      </c>
      <c r="AH96" s="70">
        <f>IF(AQ96="0",BJ96,0)</f>
        <v>0</v>
      </c>
      <c r="AI96" s="67" t="s">
        <v>157</v>
      </c>
      <c r="AJ96" s="70">
        <f>IF(AN96=0,K96,0)</f>
        <v>0</v>
      </c>
      <c r="AK96" s="70">
        <f>IF(AN96=15,K96,0)</f>
        <v>0</v>
      </c>
      <c r="AL96" s="70">
        <f>IF(AN96=21,K96,0)</f>
        <v>0</v>
      </c>
      <c r="AN96" s="70">
        <v>21</v>
      </c>
      <c r="AO96" s="70">
        <f>H96*0</f>
        <v>0</v>
      </c>
      <c r="AP96" s="70">
        <f>H96*(1-0)</f>
        <v>0</v>
      </c>
      <c r="AQ96" s="71" t="s">
        <v>124</v>
      </c>
      <c r="AV96" s="70">
        <f>AW96+AX96</f>
        <v>0</v>
      </c>
      <c r="AW96" s="70">
        <f>G96*AO96</f>
        <v>0</v>
      </c>
      <c r="AX96" s="70">
        <f>G96*AP96</f>
        <v>0</v>
      </c>
      <c r="AY96" s="71" t="s">
        <v>331</v>
      </c>
      <c r="AZ96" s="71" t="s">
        <v>1064</v>
      </c>
      <c r="BA96" s="67" t="s">
        <v>162</v>
      </c>
      <c r="BC96" s="70">
        <f>AW96+AX96</f>
        <v>0</v>
      </c>
      <c r="BD96" s="70">
        <f>H96/(100-BE96)*100</f>
        <v>0</v>
      </c>
      <c r="BE96" s="70">
        <v>0</v>
      </c>
      <c r="BF96" s="70">
        <f>96</f>
        <v>96</v>
      </c>
      <c r="BH96" s="70">
        <f>G96*AO96</f>
        <v>0</v>
      </c>
      <c r="BI96" s="70">
        <f>G96*AP96</f>
        <v>0</v>
      </c>
      <c r="BJ96" s="70">
        <f>G96*H96</f>
        <v>0</v>
      </c>
    </row>
    <row r="97" spans="2:12" ht="51.3" customHeight="1">
      <c r="B97" s="75" t="s">
        <v>67</v>
      </c>
      <c r="C97" s="725" t="s">
        <v>1065</v>
      </c>
      <c r="D97" s="726"/>
      <c r="E97" s="726"/>
      <c r="F97" s="726"/>
      <c r="G97" s="726"/>
      <c r="H97" s="726"/>
      <c r="I97" s="726"/>
      <c r="J97" s="726"/>
      <c r="K97" s="726"/>
      <c r="L97" s="726"/>
    </row>
    <row r="98" spans="1:47" ht="15">
      <c r="A98" s="88"/>
      <c r="B98" s="591" t="s">
        <v>345</v>
      </c>
      <c r="C98" s="710" t="s">
        <v>346</v>
      </c>
      <c r="D98" s="711"/>
      <c r="E98" s="711"/>
      <c r="F98" s="88" t="s">
        <v>70</v>
      </c>
      <c r="G98" s="88" t="s">
        <v>70</v>
      </c>
      <c r="H98" s="88" t="s">
        <v>70</v>
      </c>
      <c r="I98" s="90">
        <f>SUM(I99:I99)</f>
        <v>0</v>
      </c>
      <c r="J98" s="90">
        <f>SUM(J99:J99)</f>
        <v>0</v>
      </c>
      <c r="K98" s="90">
        <f>SUM(K99:K99)</f>
        <v>0</v>
      </c>
      <c r="L98" s="91"/>
      <c r="AI98" s="67" t="s">
        <v>157</v>
      </c>
      <c r="AS98" s="68">
        <f>SUM(AJ99:AJ99)</f>
        <v>0</v>
      </c>
      <c r="AT98" s="68">
        <f>SUM(AK99:AK99)</f>
        <v>0</v>
      </c>
      <c r="AU98" s="68">
        <f>SUM(AL99:AL99)</f>
        <v>0</v>
      </c>
    </row>
    <row r="99" spans="1:62" ht="15">
      <c r="A99" s="589" t="s">
        <v>295</v>
      </c>
      <c r="B99" s="589" t="s">
        <v>684</v>
      </c>
      <c r="C99" s="696" t="s">
        <v>685</v>
      </c>
      <c r="D99" s="693"/>
      <c r="E99" s="693"/>
      <c r="F99" s="589" t="s">
        <v>132</v>
      </c>
      <c r="G99" s="70">
        <v>318.3</v>
      </c>
      <c r="H99" s="580">
        <v>0</v>
      </c>
      <c r="I99" s="70">
        <f>G99*AO99</f>
        <v>0</v>
      </c>
      <c r="J99" s="70">
        <f>G99*AP99</f>
        <v>0</v>
      </c>
      <c r="K99" s="70">
        <f>G99*H99</f>
        <v>0</v>
      </c>
      <c r="L99" s="71" t="s">
        <v>120</v>
      </c>
      <c r="Z99" s="70">
        <f>IF(AQ99="5",BJ99,0)</f>
        <v>0</v>
      </c>
      <c r="AB99" s="70">
        <f>IF(AQ99="1",BH99,0)</f>
        <v>0</v>
      </c>
      <c r="AC99" s="70">
        <f>IF(AQ99="1",BI99,0)</f>
        <v>0</v>
      </c>
      <c r="AD99" s="70">
        <f>IF(AQ99="7",BH99,0)</f>
        <v>0</v>
      </c>
      <c r="AE99" s="70">
        <f>IF(AQ99="7",BI99,0)</f>
        <v>0</v>
      </c>
      <c r="AF99" s="70">
        <f>IF(AQ99="2",BH99,0)</f>
        <v>0</v>
      </c>
      <c r="AG99" s="70">
        <f>IF(AQ99="2",BI99,0)</f>
        <v>0</v>
      </c>
      <c r="AH99" s="70">
        <f>IF(AQ99="0",BJ99,0)</f>
        <v>0</v>
      </c>
      <c r="AI99" s="67" t="s">
        <v>157</v>
      </c>
      <c r="AJ99" s="70">
        <f>IF(AN99=0,K99,0)</f>
        <v>0</v>
      </c>
      <c r="AK99" s="70">
        <f>IF(AN99=15,K99,0)</f>
        <v>0</v>
      </c>
      <c r="AL99" s="70">
        <f>IF(AN99=21,K99,0)</f>
        <v>0</v>
      </c>
      <c r="AN99" s="70">
        <v>21</v>
      </c>
      <c r="AO99" s="70">
        <f>H99*0</f>
        <v>0</v>
      </c>
      <c r="AP99" s="70">
        <f>H99*(1-0)</f>
        <v>0</v>
      </c>
      <c r="AQ99" s="71" t="s">
        <v>124</v>
      </c>
      <c r="AV99" s="70">
        <f>AW99+AX99</f>
        <v>0</v>
      </c>
      <c r="AW99" s="70">
        <f>G99*AO99</f>
        <v>0</v>
      </c>
      <c r="AX99" s="70">
        <f>G99*AP99</f>
        <v>0</v>
      </c>
      <c r="AY99" s="71" t="s">
        <v>350</v>
      </c>
      <c r="AZ99" s="71" t="s">
        <v>167</v>
      </c>
      <c r="BA99" s="67" t="s">
        <v>162</v>
      </c>
      <c r="BC99" s="70">
        <f>AW99+AX99</f>
        <v>0</v>
      </c>
      <c r="BD99" s="70">
        <f>H99/(100-BE99)*100</f>
        <v>0</v>
      </c>
      <c r="BE99" s="70">
        <v>0</v>
      </c>
      <c r="BF99" s="70">
        <f>99</f>
        <v>99</v>
      </c>
      <c r="BH99" s="70">
        <f>G99*AO99</f>
        <v>0</v>
      </c>
      <c r="BI99" s="70">
        <f>G99*AP99</f>
        <v>0</v>
      </c>
      <c r="BJ99" s="70">
        <f>G99*H99</f>
        <v>0</v>
      </c>
    </row>
    <row r="100" spans="1:47" ht="15">
      <c r="A100" s="88"/>
      <c r="B100" s="591"/>
      <c r="C100" s="710" t="s">
        <v>52</v>
      </c>
      <c r="D100" s="711"/>
      <c r="E100" s="711"/>
      <c r="F100" s="88" t="s">
        <v>70</v>
      </c>
      <c r="G100" s="88" t="s">
        <v>70</v>
      </c>
      <c r="H100" s="624" t="s">
        <v>70</v>
      </c>
      <c r="I100" s="90">
        <f>SUM(I101:I116)</f>
        <v>0</v>
      </c>
      <c r="J100" s="90">
        <f>SUM(J101:J116)</f>
        <v>0</v>
      </c>
      <c r="K100" s="90">
        <f>SUM(K101:K116)</f>
        <v>0</v>
      </c>
      <c r="L100" s="91"/>
      <c r="AI100" s="67" t="s">
        <v>157</v>
      </c>
      <c r="AS100" s="68">
        <f>SUM(AJ101:AJ116)</f>
        <v>0</v>
      </c>
      <c r="AT100" s="68">
        <f>SUM(AK101:AK116)</f>
        <v>0</v>
      </c>
      <c r="AU100" s="68">
        <f>SUM(AL101:AL116)</f>
        <v>0</v>
      </c>
    </row>
    <row r="101" spans="1:62" ht="15">
      <c r="A101" s="589" t="s">
        <v>298</v>
      </c>
      <c r="B101" s="589" t="s">
        <v>1011</v>
      </c>
      <c r="C101" s="696" t="s">
        <v>1066</v>
      </c>
      <c r="D101" s="693"/>
      <c r="E101" s="693"/>
      <c r="F101" s="589" t="s">
        <v>253</v>
      </c>
      <c r="G101" s="70">
        <v>49.2</v>
      </c>
      <c r="H101" s="580">
        <v>0</v>
      </c>
      <c r="I101" s="70">
        <f>G101*AO101</f>
        <v>0</v>
      </c>
      <c r="J101" s="70">
        <f>G101*AP101</f>
        <v>0</v>
      </c>
      <c r="K101" s="70">
        <f>G101*H101</f>
        <v>0</v>
      </c>
      <c r="L101" s="71" t="s">
        <v>120</v>
      </c>
      <c r="Z101" s="70">
        <f>IF(AQ101="5",BJ101,0)</f>
        <v>0</v>
      </c>
      <c r="AB101" s="70">
        <f>IF(AQ101="1",BH101,0)</f>
        <v>0</v>
      </c>
      <c r="AC101" s="70">
        <f>IF(AQ101="1",BI101,0)</f>
        <v>0</v>
      </c>
      <c r="AD101" s="70">
        <f>IF(AQ101="7",BH101,0)</f>
        <v>0</v>
      </c>
      <c r="AE101" s="70">
        <f>IF(AQ101="7",BI101,0)</f>
        <v>0</v>
      </c>
      <c r="AF101" s="70">
        <f>IF(AQ101="2",BH101,0)</f>
        <v>0</v>
      </c>
      <c r="AG101" s="70">
        <f>IF(AQ101="2",BI101,0)</f>
        <v>0</v>
      </c>
      <c r="AH101" s="70">
        <f>IF(AQ101="0",BJ101,0)</f>
        <v>0</v>
      </c>
      <c r="AI101" s="67" t="s">
        <v>157</v>
      </c>
      <c r="AJ101" s="70">
        <f>IF(AN101=0,K101,0)</f>
        <v>0</v>
      </c>
      <c r="AK101" s="70">
        <f>IF(AN101=15,K101,0)</f>
        <v>0</v>
      </c>
      <c r="AL101" s="70">
        <f>IF(AN101=21,K101,0)</f>
        <v>0</v>
      </c>
      <c r="AN101" s="70">
        <v>21</v>
      </c>
      <c r="AO101" s="70">
        <f>H101*1</f>
        <v>0</v>
      </c>
      <c r="AP101" s="70">
        <f>H101*(1-1)</f>
        <v>0</v>
      </c>
      <c r="AQ101" s="71" t="s">
        <v>355</v>
      </c>
      <c r="AV101" s="70">
        <f>AW101+AX101</f>
        <v>0</v>
      </c>
      <c r="AW101" s="70">
        <f>G101*AO101</f>
        <v>0</v>
      </c>
      <c r="AX101" s="70">
        <f>G101*AP101</f>
        <v>0</v>
      </c>
      <c r="AY101" s="71" t="s">
        <v>356</v>
      </c>
      <c r="AZ101" s="71" t="s">
        <v>1067</v>
      </c>
      <c r="BA101" s="67" t="s">
        <v>162</v>
      </c>
      <c r="BC101" s="70">
        <f>AW101+AX101</f>
        <v>0</v>
      </c>
      <c r="BD101" s="70">
        <f>H101/(100-BE101)*100</f>
        <v>0</v>
      </c>
      <c r="BE101" s="70">
        <v>0</v>
      </c>
      <c r="BF101" s="70">
        <f>101</f>
        <v>101</v>
      </c>
      <c r="BH101" s="70">
        <f>G101*AO101</f>
        <v>0</v>
      </c>
      <c r="BI101" s="70">
        <f>G101*AP101</f>
        <v>0</v>
      </c>
      <c r="BJ101" s="70">
        <f>G101*H101</f>
        <v>0</v>
      </c>
    </row>
    <row r="102" spans="2:12" ht="12.75" customHeight="1">
      <c r="B102" s="75" t="s">
        <v>67</v>
      </c>
      <c r="C102" s="725" t="s">
        <v>1068</v>
      </c>
      <c r="D102" s="726"/>
      <c r="E102" s="726"/>
      <c r="F102" s="726"/>
      <c r="G102" s="726"/>
      <c r="H102" s="726"/>
      <c r="I102" s="726"/>
      <c r="J102" s="726"/>
      <c r="K102" s="726"/>
      <c r="L102" s="726"/>
    </row>
    <row r="103" spans="1:62" ht="15">
      <c r="A103" s="589" t="s">
        <v>301</v>
      </c>
      <c r="B103" s="589" t="s">
        <v>1069</v>
      </c>
      <c r="C103" s="696" t="s">
        <v>1070</v>
      </c>
      <c r="D103" s="693"/>
      <c r="E103" s="693"/>
      <c r="F103" s="589" t="s">
        <v>1071</v>
      </c>
      <c r="G103" s="70">
        <v>0.5</v>
      </c>
      <c r="H103" s="580">
        <v>0</v>
      </c>
      <c r="I103" s="70">
        <f>G103*AO103</f>
        <v>0</v>
      </c>
      <c r="J103" s="70">
        <f>G103*AP103</f>
        <v>0</v>
      </c>
      <c r="K103" s="70">
        <f>G103*H103</f>
        <v>0</v>
      </c>
      <c r="L103" s="71"/>
      <c r="Z103" s="70">
        <f>IF(AQ103="5",BJ103,0)</f>
        <v>0</v>
      </c>
      <c r="AB103" s="70">
        <f>IF(AQ103="1",BH103,0)</f>
        <v>0</v>
      </c>
      <c r="AC103" s="70">
        <f>IF(AQ103="1",BI103,0)</f>
        <v>0</v>
      </c>
      <c r="AD103" s="70">
        <f>IF(AQ103="7",BH103,0)</f>
        <v>0</v>
      </c>
      <c r="AE103" s="70">
        <f>IF(AQ103="7",BI103,0)</f>
        <v>0</v>
      </c>
      <c r="AF103" s="70">
        <f>IF(AQ103="2",BH103,0)</f>
        <v>0</v>
      </c>
      <c r="AG103" s="70">
        <f>IF(AQ103="2",BI103,0)</f>
        <v>0</v>
      </c>
      <c r="AH103" s="70">
        <f>IF(AQ103="0",BJ103,0)</f>
        <v>0</v>
      </c>
      <c r="AI103" s="67" t="s">
        <v>157</v>
      </c>
      <c r="AJ103" s="70">
        <f>IF(AN103=0,K103,0)</f>
        <v>0</v>
      </c>
      <c r="AK103" s="70">
        <f>IF(AN103=15,K103,0)</f>
        <v>0</v>
      </c>
      <c r="AL103" s="70">
        <f>IF(AN103=21,K103,0)</f>
        <v>0</v>
      </c>
      <c r="AN103" s="70">
        <v>21</v>
      </c>
      <c r="AO103" s="70">
        <f>H103*1</f>
        <v>0</v>
      </c>
      <c r="AP103" s="70">
        <f>H103*(1-1)</f>
        <v>0</v>
      </c>
      <c r="AQ103" s="71" t="s">
        <v>355</v>
      </c>
      <c r="AV103" s="70">
        <f>AW103+AX103</f>
        <v>0</v>
      </c>
      <c r="AW103" s="70">
        <f>G103*AO103</f>
        <v>0</v>
      </c>
      <c r="AX103" s="70">
        <f>G103*AP103</f>
        <v>0</v>
      </c>
      <c r="AY103" s="71" t="s">
        <v>356</v>
      </c>
      <c r="AZ103" s="71" t="s">
        <v>1067</v>
      </c>
      <c r="BA103" s="67" t="s">
        <v>162</v>
      </c>
      <c r="BC103" s="70">
        <f>AW103+AX103</f>
        <v>0</v>
      </c>
      <c r="BD103" s="70">
        <f>H103/(100-BE103)*100</f>
        <v>0</v>
      </c>
      <c r="BE103" s="70">
        <v>0</v>
      </c>
      <c r="BF103" s="70">
        <f>103</f>
        <v>103</v>
      </c>
      <c r="BH103" s="70">
        <f>G103*AO103</f>
        <v>0</v>
      </c>
      <c r="BI103" s="70">
        <f>G103*AP103</f>
        <v>0</v>
      </c>
      <c r="BJ103" s="70">
        <f>G103*H103</f>
        <v>0</v>
      </c>
    </row>
    <row r="104" spans="2:12" ht="12.75" customHeight="1">
      <c r="B104" s="75" t="s">
        <v>67</v>
      </c>
      <c r="C104" s="725" t="s">
        <v>1072</v>
      </c>
      <c r="D104" s="726"/>
      <c r="E104" s="726"/>
      <c r="F104" s="726"/>
      <c r="G104" s="726"/>
      <c r="H104" s="726"/>
      <c r="I104" s="726"/>
      <c r="J104" s="726"/>
      <c r="K104" s="726"/>
      <c r="L104" s="726"/>
    </row>
    <row r="105" spans="1:62" ht="15">
      <c r="A105" s="72" t="s">
        <v>303</v>
      </c>
      <c r="B105" s="72" t="s">
        <v>1073</v>
      </c>
      <c r="C105" s="712" t="s">
        <v>1074</v>
      </c>
      <c r="D105" s="693"/>
      <c r="E105" s="713"/>
      <c r="F105" s="72" t="s">
        <v>253</v>
      </c>
      <c r="G105" s="73">
        <v>310</v>
      </c>
      <c r="H105" s="581">
        <v>0</v>
      </c>
      <c r="I105" s="73">
        <f>G105*AO105</f>
        <v>0</v>
      </c>
      <c r="J105" s="73">
        <f>G105*AP105</f>
        <v>0</v>
      </c>
      <c r="K105" s="73">
        <f>G105*H105</f>
        <v>0</v>
      </c>
      <c r="L105" s="74" t="s">
        <v>120</v>
      </c>
      <c r="Z105" s="70">
        <f>IF(AQ105="5",BJ105,0)</f>
        <v>0</v>
      </c>
      <c r="AB105" s="70">
        <f>IF(AQ105="1",BH105,0)</f>
        <v>0</v>
      </c>
      <c r="AC105" s="70">
        <f>IF(AQ105="1",BI105,0)</f>
        <v>0</v>
      </c>
      <c r="AD105" s="70">
        <f>IF(AQ105="7",BH105,0)</f>
        <v>0</v>
      </c>
      <c r="AE105" s="70">
        <f>IF(AQ105="7",BI105,0)</f>
        <v>0</v>
      </c>
      <c r="AF105" s="70">
        <f>IF(AQ105="2",BH105,0)</f>
        <v>0</v>
      </c>
      <c r="AG105" s="70">
        <f>IF(AQ105="2",BI105,0)</f>
        <v>0</v>
      </c>
      <c r="AH105" s="70">
        <f>IF(AQ105="0",BJ105,0)</f>
        <v>0</v>
      </c>
      <c r="AI105" s="67" t="s">
        <v>157</v>
      </c>
      <c r="AJ105" s="70">
        <f>IF(AN105=0,K105,0)</f>
        <v>0</v>
      </c>
      <c r="AK105" s="70">
        <f>IF(AN105=15,K105,0)</f>
        <v>0</v>
      </c>
      <c r="AL105" s="70">
        <f>IF(AN105=21,K105,0)</f>
        <v>0</v>
      </c>
      <c r="AN105" s="70">
        <v>21</v>
      </c>
      <c r="AO105" s="70">
        <f>H105*1</f>
        <v>0</v>
      </c>
      <c r="AP105" s="70">
        <f>H105*(1-1)</f>
        <v>0</v>
      </c>
      <c r="AQ105" s="71" t="s">
        <v>355</v>
      </c>
      <c r="AV105" s="70">
        <f>AW105+AX105</f>
        <v>0</v>
      </c>
      <c r="AW105" s="70">
        <f>G105*AO105</f>
        <v>0</v>
      </c>
      <c r="AX105" s="70">
        <f>G105*AP105</f>
        <v>0</v>
      </c>
      <c r="AY105" s="71" t="s">
        <v>356</v>
      </c>
      <c r="AZ105" s="71" t="s">
        <v>1067</v>
      </c>
      <c r="BA105" s="67" t="s">
        <v>162</v>
      </c>
      <c r="BC105" s="70">
        <f>AW105+AX105</f>
        <v>0</v>
      </c>
      <c r="BD105" s="70">
        <f>H105/(100-BE105)*100</f>
        <v>0</v>
      </c>
      <c r="BE105" s="70">
        <v>0</v>
      </c>
      <c r="BF105" s="70">
        <f>105</f>
        <v>105</v>
      </c>
      <c r="BH105" s="70">
        <f>G105*AO105</f>
        <v>0</v>
      </c>
      <c r="BI105" s="70">
        <f>G105*AP105</f>
        <v>0</v>
      </c>
      <c r="BJ105" s="70">
        <f>G105*H105</f>
        <v>0</v>
      </c>
    </row>
    <row r="106" spans="2:12" ht="166.65" customHeight="1">
      <c r="B106" s="75" t="s">
        <v>67</v>
      </c>
      <c r="C106" s="725" t="s">
        <v>1075</v>
      </c>
      <c r="D106" s="726"/>
      <c r="E106" s="726"/>
      <c r="F106" s="726"/>
      <c r="G106" s="726"/>
      <c r="H106" s="726"/>
      <c r="I106" s="726"/>
      <c r="J106" s="726"/>
      <c r="K106" s="726"/>
      <c r="L106" s="726"/>
    </row>
    <row r="107" spans="1:62" ht="15">
      <c r="A107" s="589" t="s">
        <v>309</v>
      </c>
      <c r="B107" s="589" t="s">
        <v>1076</v>
      </c>
      <c r="C107" s="696" t="s">
        <v>1077</v>
      </c>
      <c r="D107" s="693"/>
      <c r="E107" s="693"/>
      <c r="F107" s="589" t="s">
        <v>306</v>
      </c>
      <c r="G107" s="70">
        <v>20</v>
      </c>
      <c r="H107" s="580">
        <v>0</v>
      </c>
      <c r="I107" s="70">
        <f>G107*AO107</f>
        <v>0</v>
      </c>
      <c r="J107" s="70">
        <f>G107*AP107</f>
        <v>0</v>
      </c>
      <c r="K107" s="70">
        <f>G107*H107</f>
        <v>0</v>
      </c>
      <c r="L107" s="71"/>
      <c r="Z107" s="70">
        <f>IF(AQ107="5",BJ107,0)</f>
        <v>0</v>
      </c>
      <c r="AB107" s="70">
        <f>IF(AQ107="1",BH107,0)</f>
        <v>0</v>
      </c>
      <c r="AC107" s="70">
        <f>IF(AQ107="1",BI107,0)</f>
        <v>0</v>
      </c>
      <c r="AD107" s="70">
        <f>IF(AQ107="7",BH107,0)</f>
        <v>0</v>
      </c>
      <c r="AE107" s="70">
        <f>IF(AQ107="7",BI107,0)</f>
        <v>0</v>
      </c>
      <c r="AF107" s="70">
        <f>IF(AQ107="2",BH107,0)</f>
        <v>0</v>
      </c>
      <c r="AG107" s="70">
        <f>IF(AQ107="2",BI107,0)</f>
        <v>0</v>
      </c>
      <c r="AH107" s="70">
        <f>IF(AQ107="0",BJ107,0)</f>
        <v>0</v>
      </c>
      <c r="AI107" s="67" t="s">
        <v>157</v>
      </c>
      <c r="AJ107" s="70">
        <f>IF(AN107=0,K107,0)</f>
        <v>0</v>
      </c>
      <c r="AK107" s="70">
        <f>IF(AN107=15,K107,0)</f>
        <v>0</v>
      </c>
      <c r="AL107" s="70">
        <f>IF(AN107=21,K107,0)</f>
        <v>0</v>
      </c>
      <c r="AN107" s="70">
        <v>21</v>
      </c>
      <c r="AO107" s="70">
        <f>H107*1</f>
        <v>0</v>
      </c>
      <c r="AP107" s="70">
        <f>H107*(1-1)</f>
        <v>0</v>
      </c>
      <c r="AQ107" s="71" t="s">
        <v>355</v>
      </c>
      <c r="AV107" s="70">
        <f>AW107+AX107</f>
        <v>0</v>
      </c>
      <c r="AW107" s="70">
        <f>G107*AO107</f>
        <v>0</v>
      </c>
      <c r="AX107" s="70">
        <f>G107*AP107</f>
        <v>0</v>
      </c>
      <c r="AY107" s="71" t="s">
        <v>356</v>
      </c>
      <c r="AZ107" s="71" t="s">
        <v>1067</v>
      </c>
      <c r="BA107" s="67" t="s">
        <v>162</v>
      </c>
      <c r="BC107" s="70">
        <f>AW107+AX107</f>
        <v>0</v>
      </c>
      <c r="BD107" s="70">
        <f>H107/(100-BE107)*100</f>
        <v>0</v>
      </c>
      <c r="BE107" s="70">
        <v>0</v>
      </c>
      <c r="BF107" s="70">
        <f>107</f>
        <v>107</v>
      </c>
      <c r="BH107" s="70">
        <f>G107*AO107</f>
        <v>0</v>
      </c>
      <c r="BI107" s="70">
        <f>G107*AP107</f>
        <v>0</v>
      </c>
      <c r="BJ107" s="70">
        <f>G107*H107</f>
        <v>0</v>
      </c>
    </row>
    <row r="108" spans="1:62" ht="15">
      <c r="A108" s="589" t="s">
        <v>314</v>
      </c>
      <c r="B108" s="589" t="s">
        <v>1078</v>
      </c>
      <c r="C108" s="696" t="s">
        <v>1079</v>
      </c>
      <c r="D108" s="693"/>
      <c r="E108" s="693"/>
      <c r="F108" s="589" t="s">
        <v>306</v>
      </c>
      <c r="G108" s="70">
        <v>425</v>
      </c>
      <c r="H108" s="580">
        <v>0</v>
      </c>
      <c r="I108" s="70">
        <f>G108*AO108</f>
        <v>0</v>
      </c>
      <c r="J108" s="70">
        <f>G108*AP108</f>
        <v>0</v>
      </c>
      <c r="K108" s="70">
        <f>G108*H108</f>
        <v>0</v>
      </c>
      <c r="L108" s="71"/>
      <c r="Z108" s="70">
        <f>IF(AQ108="5",BJ108,0)</f>
        <v>0</v>
      </c>
      <c r="AB108" s="70">
        <f>IF(AQ108="1",BH108,0)</f>
        <v>0</v>
      </c>
      <c r="AC108" s="70">
        <f>IF(AQ108="1",BI108,0)</f>
        <v>0</v>
      </c>
      <c r="AD108" s="70">
        <f>IF(AQ108="7",BH108,0)</f>
        <v>0</v>
      </c>
      <c r="AE108" s="70">
        <f>IF(AQ108="7",BI108,0)</f>
        <v>0</v>
      </c>
      <c r="AF108" s="70">
        <f>IF(AQ108="2",BH108,0)</f>
        <v>0</v>
      </c>
      <c r="AG108" s="70">
        <f>IF(AQ108="2",BI108,0)</f>
        <v>0</v>
      </c>
      <c r="AH108" s="70">
        <f>IF(AQ108="0",BJ108,0)</f>
        <v>0</v>
      </c>
      <c r="AI108" s="67" t="s">
        <v>157</v>
      </c>
      <c r="AJ108" s="70">
        <f>IF(AN108=0,K108,0)</f>
        <v>0</v>
      </c>
      <c r="AK108" s="70">
        <f>IF(AN108=15,K108,0)</f>
        <v>0</v>
      </c>
      <c r="AL108" s="70">
        <f>IF(AN108=21,K108,0)</f>
        <v>0</v>
      </c>
      <c r="AN108" s="70">
        <v>21</v>
      </c>
      <c r="AO108" s="70">
        <f>H108*1</f>
        <v>0</v>
      </c>
      <c r="AP108" s="70">
        <f>H108*(1-1)</f>
        <v>0</v>
      </c>
      <c r="AQ108" s="71" t="s">
        <v>355</v>
      </c>
      <c r="AV108" s="70">
        <f>AW108+AX108</f>
        <v>0</v>
      </c>
      <c r="AW108" s="70">
        <f>G108*AO108</f>
        <v>0</v>
      </c>
      <c r="AX108" s="70">
        <f>G108*AP108</f>
        <v>0</v>
      </c>
      <c r="AY108" s="71" t="s">
        <v>356</v>
      </c>
      <c r="AZ108" s="71" t="s">
        <v>1067</v>
      </c>
      <c r="BA108" s="67" t="s">
        <v>162</v>
      </c>
      <c r="BC108" s="70">
        <f>AW108+AX108</f>
        <v>0</v>
      </c>
      <c r="BD108" s="70">
        <f>H108/(100-BE108)*100</f>
        <v>0</v>
      </c>
      <c r="BE108" s="70">
        <v>0</v>
      </c>
      <c r="BF108" s="70">
        <f>108</f>
        <v>108</v>
      </c>
      <c r="BH108" s="70">
        <f>G108*AO108</f>
        <v>0</v>
      </c>
      <c r="BI108" s="70">
        <f>G108*AP108</f>
        <v>0</v>
      </c>
      <c r="BJ108" s="70">
        <f>G108*H108</f>
        <v>0</v>
      </c>
    </row>
    <row r="109" spans="2:12" ht="25.35" customHeight="1">
      <c r="B109" s="75" t="s">
        <v>67</v>
      </c>
      <c r="C109" s="725" t="s">
        <v>1080</v>
      </c>
      <c r="D109" s="726"/>
      <c r="E109" s="726"/>
      <c r="F109" s="726"/>
      <c r="G109" s="726"/>
      <c r="H109" s="726"/>
      <c r="I109" s="726"/>
      <c r="J109" s="726"/>
      <c r="K109" s="726"/>
      <c r="L109" s="726"/>
    </row>
    <row r="110" spans="1:62" ht="15">
      <c r="A110" s="589" t="s">
        <v>317</v>
      </c>
      <c r="B110" s="589" t="s">
        <v>1078</v>
      </c>
      <c r="C110" s="696" t="s">
        <v>1081</v>
      </c>
      <c r="D110" s="693"/>
      <c r="E110" s="693"/>
      <c r="F110" s="589" t="s">
        <v>306</v>
      </c>
      <c r="G110" s="70">
        <v>1404</v>
      </c>
      <c r="H110" s="580">
        <v>0</v>
      </c>
      <c r="I110" s="70">
        <f>G110*AO110</f>
        <v>0</v>
      </c>
      <c r="J110" s="70">
        <f>G110*AP110</f>
        <v>0</v>
      </c>
      <c r="K110" s="70">
        <f>G110*H110</f>
        <v>0</v>
      </c>
      <c r="L110" s="71"/>
      <c r="Z110" s="70">
        <f>IF(AQ110="5",BJ110,0)</f>
        <v>0</v>
      </c>
      <c r="AB110" s="70">
        <f>IF(AQ110="1",BH110,0)</f>
        <v>0</v>
      </c>
      <c r="AC110" s="70">
        <f>IF(AQ110="1",BI110,0)</f>
        <v>0</v>
      </c>
      <c r="AD110" s="70">
        <f>IF(AQ110="7",BH110,0)</f>
        <v>0</v>
      </c>
      <c r="AE110" s="70">
        <f>IF(AQ110="7",BI110,0)</f>
        <v>0</v>
      </c>
      <c r="AF110" s="70">
        <f>IF(AQ110="2",BH110,0)</f>
        <v>0</v>
      </c>
      <c r="AG110" s="70">
        <f>IF(AQ110="2",BI110,0)</f>
        <v>0</v>
      </c>
      <c r="AH110" s="70">
        <f>IF(AQ110="0",BJ110,0)</f>
        <v>0</v>
      </c>
      <c r="AI110" s="67" t="s">
        <v>157</v>
      </c>
      <c r="AJ110" s="70">
        <f>IF(AN110=0,K110,0)</f>
        <v>0</v>
      </c>
      <c r="AK110" s="70">
        <f>IF(AN110=15,K110,0)</f>
        <v>0</v>
      </c>
      <c r="AL110" s="70">
        <f>IF(AN110=21,K110,0)</f>
        <v>0</v>
      </c>
      <c r="AN110" s="70">
        <v>21</v>
      </c>
      <c r="AO110" s="70">
        <f>H110*1</f>
        <v>0</v>
      </c>
      <c r="AP110" s="70">
        <f>H110*(1-1)</f>
        <v>0</v>
      </c>
      <c r="AQ110" s="71" t="s">
        <v>355</v>
      </c>
      <c r="AV110" s="70">
        <f>AW110+AX110</f>
        <v>0</v>
      </c>
      <c r="AW110" s="70">
        <f>G110*AO110</f>
        <v>0</v>
      </c>
      <c r="AX110" s="70">
        <f>G110*AP110</f>
        <v>0</v>
      </c>
      <c r="AY110" s="71" t="s">
        <v>356</v>
      </c>
      <c r="AZ110" s="71" t="s">
        <v>1067</v>
      </c>
      <c r="BA110" s="67" t="s">
        <v>162</v>
      </c>
      <c r="BC110" s="70">
        <f>AW110+AX110</f>
        <v>0</v>
      </c>
      <c r="BD110" s="70">
        <f>H110/(100-BE110)*100</f>
        <v>0</v>
      </c>
      <c r="BE110" s="70">
        <v>0</v>
      </c>
      <c r="BF110" s="70">
        <f>110</f>
        <v>110</v>
      </c>
      <c r="BH110" s="70">
        <f>G110*AO110</f>
        <v>0</v>
      </c>
      <c r="BI110" s="70">
        <f>G110*AP110</f>
        <v>0</v>
      </c>
      <c r="BJ110" s="70">
        <f>G110*H110</f>
        <v>0</v>
      </c>
    </row>
    <row r="111" spans="2:12" ht="12.75" customHeight="1">
      <c r="B111" s="75" t="s">
        <v>67</v>
      </c>
      <c r="C111" s="725" t="s">
        <v>1082</v>
      </c>
      <c r="D111" s="726"/>
      <c r="E111" s="726"/>
      <c r="F111" s="726"/>
      <c r="G111" s="726"/>
      <c r="H111" s="726"/>
      <c r="I111" s="726"/>
      <c r="J111" s="726"/>
      <c r="K111" s="726"/>
      <c r="L111" s="726"/>
    </row>
    <row r="112" spans="1:62" ht="15">
      <c r="A112" s="589" t="s">
        <v>321</v>
      </c>
      <c r="B112" s="589" t="s">
        <v>1078</v>
      </c>
      <c r="C112" s="696" t="s">
        <v>1083</v>
      </c>
      <c r="D112" s="693"/>
      <c r="E112" s="693"/>
      <c r="F112" s="589" t="s">
        <v>306</v>
      </c>
      <c r="G112" s="70">
        <v>3381</v>
      </c>
      <c r="H112" s="580">
        <v>0</v>
      </c>
      <c r="I112" s="70">
        <f>G112*AO112</f>
        <v>0</v>
      </c>
      <c r="J112" s="70">
        <f>G112*AP112</f>
        <v>0</v>
      </c>
      <c r="K112" s="70">
        <f>G112*H112</f>
        <v>0</v>
      </c>
      <c r="L112" s="71"/>
      <c r="Z112" s="70">
        <f>IF(AQ112="5",BJ112,0)</f>
        <v>0</v>
      </c>
      <c r="AB112" s="70">
        <f>IF(AQ112="1",BH112,0)</f>
        <v>0</v>
      </c>
      <c r="AC112" s="70">
        <f>IF(AQ112="1",BI112,0)</f>
        <v>0</v>
      </c>
      <c r="AD112" s="70">
        <f>IF(AQ112="7",BH112,0)</f>
        <v>0</v>
      </c>
      <c r="AE112" s="70">
        <f>IF(AQ112="7",BI112,0)</f>
        <v>0</v>
      </c>
      <c r="AF112" s="70">
        <f>IF(AQ112="2",BH112,0)</f>
        <v>0</v>
      </c>
      <c r="AG112" s="70">
        <f>IF(AQ112="2",BI112,0)</f>
        <v>0</v>
      </c>
      <c r="AH112" s="70">
        <f>IF(AQ112="0",BJ112,0)</f>
        <v>0</v>
      </c>
      <c r="AI112" s="67" t="s">
        <v>157</v>
      </c>
      <c r="AJ112" s="70">
        <f>IF(AN112=0,K112,0)</f>
        <v>0</v>
      </c>
      <c r="AK112" s="70">
        <f>IF(AN112=15,K112,0)</f>
        <v>0</v>
      </c>
      <c r="AL112" s="70">
        <f>IF(AN112=21,K112,0)</f>
        <v>0</v>
      </c>
      <c r="AN112" s="70">
        <v>21</v>
      </c>
      <c r="AO112" s="70">
        <f>H112*1</f>
        <v>0</v>
      </c>
      <c r="AP112" s="70">
        <f>H112*(1-1)</f>
        <v>0</v>
      </c>
      <c r="AQ112" s="71" t="s">
        <v>355</v>
      </c>
      <c r="AV112" s="70">
        <f>AW112+AX112</f>
        <v>0</v>
      </c>
      <c r="AW112" s="70">
        <f>G112*AO112</f>
        <v>0</v>
      </c>
      <c r="AX112" s="70">
        <f>G112*AP112</f>
        <v>0</v>
      </c>
      <c r="AY112" s="71" t="s">
        <v>356</v>
      </c>
      <c r="AZ112" s="71" t="s">
        <v>1067</v>
      </c>
      <c r="BA112" s="67" t="s">
        <v>162</v>
      </c>
      <c r="BC112" s="70">
        <f>AW112+AX112</f>
        <v>0</v>
      </c>
      <c r="BD112" s="70">
        <f>H112/(100-BE112)*100</f>
        <v>0</v>
      </c>
      <c r="BE112" s="70">
        <v>0</v>
      </c>
      <c r="BF112" s="70">
        <f>112</f>
        <v>112</v>
      </c>
      <c r="BH112" s="70">
        <f>G112*AO112</f>
        <v>0</v>
      </c>
      <c r="BI112" s="70">
        <f>G112*AP112</f>
        <v>0</v>
      </c>
      <c r="BJ112" s="70">
        <f>G112*H112</f>
        <v>0</v>
      </c>
    </row>
    <row r="113" spans="2:12" ht="25.35" customHeight="1">
      <c r="B113" s="75" t="s">
        <v>67</v>
      </c>
      <c r="C113" s="725" t="s">
        <v>1056</v>
      </c>
      <c r="D113" s="726"/>
      <c r="E113" s="726"/>
      <c r="F113" s="726"/>
      <c r="G113" s="726"/>
      <c r="H113" s="726"/>
      <c r="I113" s="726"/>
      <c r="J113" s="726"/>
      <c r="K113" s="726"/>
      <c r="L113" s="726"/>
    </row>
    <row r="114" spans="1:62" ht="15">
      <c r="A114" s="589" t="s">
        <v>324</v>
      </c>
      <c r="B114" s="589" t="s">
        <v>1084</v>
      </c>
      <c r="C114" s="696" t="s">
        <v>1085</v>
      </c>
      <c r="D114" s="693"/>
      <c r="E114" s="693"/>
      <c r="F114" s="589" t="s">
        <v>306</v>
      </c>
      <c r="G114" s="70">
        <v>5805</v>
      </c>
      <c r="H114" s="580">
        <v>0</v>
      </c>
      <c r="I114" s="70">
        <f>G114*AO114</f>
        <v>0</v>
      </c>
      <c r="J114" s="70">
        <f>G114*AP114</f>
        <v>0</v>
      </c>
      <c r="K114" s="70">
        <f>G114*H114</f>
        <v>0</v>
      </c>
      <c r="L114" s="71"/>
      <c r="Z114" s="70">
        <f>IF(AQ114="5",BJ114,0)</f>
        <v>0</v>
      </c>
      <c r="AB114" s="70">
        <f>IF(AQ114="1",BH114,0)</f>
        <v>0</v>
      </c>
      <c r="AC114" s="70">
        <f>IF(AQ114="1",BI114,0)</f>
        <v>0</v>
      </c>
      <c r="AD114" s="70">
        <f>IF(AQ114="7",BH114,0)</f>
        <v>0</v>
      </c>
      <c r="AE114" s="70">
        <f>IF(AQ114="7",BI114,0)</f>
        <v>0</v>
      </c>
      <c r="AF114" s="70">
        <f>IF(AQ114="2",BH114,0)</f>
        <v>0</v>
      </c>
      <c r="AG114" s="70">
        <f>IF(AQ114="2",BI114,0)</f>
        <v>0</v>
      </c>
      <c r="AH114" s="70">
        <f>IF(AQ114="0",BJ114,0)</f>
        <v>0</v>
      </c>
      <c r="AI114" s="67" t="s">
        <v>157</v>
      </c>
      <c r="AJ114" s="70">
        <f>IF(AN114=0,K114,0)</f>
        <v>0</v>
      </c>
      <c r="AK114" s="70">
        <f>IF(AN114=15,K114,0)</f>
        <v>0</v>
      </c>
      <c r="AL114" s="70">
        <f>IF(AN114=21,K114,0)</f>
        <v>0</v>
      </c>
      <c r="AN114" s="70">
        <v>21</v>
      </c>
      <c r="AO114" s="70">
        <f>H114*1</f>
        <v>0</v>
      </c>
      <c r="AP114" s="70">
        <f>H114*(1-1)</f>
        <v>0</v>
      </c>
      <c r="AQ114" s="71" t="s">
        <v>355</v>
      </c>
      <c r="AV114" s="70">
        <f>AW114+AX114</f>
        <v>0</v>
      </c>
      <c r="AW114" s="70">
        <f>G114*AO114</f>
        <v>0</v>
      </c>
      <c r="AX114" s="70">
        <f>G114*AP114</f>
        <v>0</v>
      </c>
      <c r="AY114" s="71" t="s">
        <v>356</v>
      </c>
      <c r="AZ114" s="71" t="s">
        <v>1067</v>
      </c>
      <c r="BA114" s="67" t="s">
        <v>162</v>
      </c>
      <c r="BC114" s="70">
        <f>AW114+AX114</f>
        <v>0</v>
      </c>
      <c r="BD114" s="70">
        <f>H114/(100-BE114)*100</f>
        <v>0</v>
      </c>
      <c r="BE114" s="70">
        <v>0</v>
      </c>
      <c r="BF114" s="70">
        <f>114</f>
        <v>114</v>
      </c>
      <c r="BH114" s="70">
        <f>G114*AO114</f>
        <v>0</v>
      </c>
      <c r="BI114" s="70">
        <f>G114*AP114</f>
        <v>0</v>
      </c>
      <c r="BJ114" s="70">
        <f>G114*H114</f>
        <v>0</v>
      </c>
    </row>
    <row r="115" spans="1:62" ht="15">
      <c r="A115" s="589" t="s">
        <v>328</v>
      </c>
      <c r="B115" s="589" t="s">
        <v>1084</v>
      </c>
      <c r="C115" s="696" t="s">
        <v>1086</v>
      </c>
      <c r="D115" s="693"/>
      <c r="E115" s="693"/>
      <c r="F115" s="589" t="s">
        <v>306</v>
      </c>
      <c r="G115" s="70">
        <v>7260</v>
      </c>
      <c r="H115" s="580">
        <v>0</v>
      </c>
      <c r="I115" s="70">
        <f>G115*AO115</f>
        <v>0</v>
      </c>
      <c r="J115" s="70">
        <f>G115*AP115</f>
        <v>0</v>
      </c>
      <c r="K115" s="70">
        <f>G115*H115</f>
        <v>0</v>
      </c>
      <c r="L115" s="71"/>
      <c r="Z115" s="70">
        <f>IF(AQ115="5",BJ115,0)</f>
        <v>0</v>
      </c>
      <c r="AB115" s="70">
        <f>IF(AQ115="1",BH115,0)</f>
        <v>0</v>
      </c>
      <c r="AC115" s="70">
        <f>IF(AQ115="1",BI115,0)</f>
        <v>0</v>
      </c>
      <c r="AD115" s="70">
        <f>IF(AQ115="7",BH115,0)</f>
        <v>0</v>
      </c>
      <c r="AE115" s="70">
        <f>IF(AQ115="7",BI115,0)</f>
        <v>0</v>
      </c>
      <c r="AF115" s="70">
        <f>IF(AQ115="2",BH115,0)</f>
        <v>0</v>
      </c>
      <c r="AG115" s="70">
        <f>IF(AQ115="2",BI115,0)</f>
        <v>0</v>
      </c>
      <c r="AH115" s="70">
        <f>IF(AQ115="0",BJ115,0)</f>
        <v>0</v>
      </c>
      <c r="AI115" s="67" t="s">
        <v>157</v>
      </c>
      <c r="AJ115" s="70">
        <f>IF(AN115=0,K115,0)</f>
        <v>0</v>
      </c>
      <c r="AK115" s="70">
        <f>IF(AN115=15,K115,0)</f>
        <v>0</v>
      </c>
      <c r="AL115" s="70">
        <f>IF(AN115=21,K115,0)</f>
        <v>0</v>
      </c>
      <c r="AN115" s="70">
        <v>21</v>
      </c>
      <c r="AO115" s="70">
        <f>H115*1</f>
        <v>0</v>
      </c>
      <c r="AP115" s="70">
        <f>H115*(1-1)</f>
        <v>0</v>
      </c>
      <c r="AQ115" s="71" t="s">
        <v>355</v>
      </c>
      <c r="AV115" s="70">
        <f>AW115+AX115</f>
        <v>0</v>
      </c>
      <c r="AW115" s="70">
        <f>G115*AO115</f>
        <v>0</v>
      </c>
      <c r="AX115" s="70">
        <f>G115*AP115</f>
        <v>0</v>
      </c>
      <c r="AY115" s="71" t="s">
        <v>356</v>
      </c>
      <c r="AZ115" s="71" t="s">
        <v>1067</v>
      </c>
      <c r="BA115" s="67" t="s">
        <v>162</v>
      </c>
      <c r="BC115" s="70">
        <f>AW115+AX115</f>
        <v>0</v>
      </c>
      <c r="BD115" s="70">
        <f>H115/(100-BE115)*100</f>
        <v>0</v>
      </c>
      <c r="BE115" s="70">
        <v>0</v>
      </c>
      <c r="BF115" s="70">
        <f>115</f>
        <v>115</v>
      </c>
      <c r="BH115" s="70">
        <f>G115*AO115</f>
        <v>0</v>
      </c>
      <c r="BI115" s="70">
        <f>G115*AP115</f>
        <v>0</v>
      </c>
      <c r="BJ115" s="70">
        <f>G115*H115</f>
        <v>0</v>
      </c>
    </row>
    <row r="116" spans="1:62" ht="15">
      <c r="A116" s="589" t="s">
        <v>334</v>
      </c>
      <c r="B116" s="589" t="s">
        <v>1014</v>
      </c>
      <c r="C116" s="696" t="s">
        <v>1087</v>
      </c>
      <c r="D116" s="693"/>
      <c r="E116" s="693"/>
      <c r="F116" s="589" t="s">
        <v>253</v>
      </c>
      <c r="G116" s="70">
        <v>40</v>
      </c>
      <c r="H116" s="580">
        <v>0</v>
      </c>
      <c r="I116" s="70">
        <f>G116*AO116</f>
        <v>0</v>
      </c>
      <c r="J116" s="70">
        <f>G116*AP116</f>
        <v>0</v>
      </c>
      <c r="K116" s="70">
        <f>G116*H116</f>
        <v>0</v>
      </c>
      <c r="L116" s="71" t="s">
        <v>120</v>
      </c>
      <c r="Z116" s="70">
        <f>IF(AQ116="5",BJ116,0)</f>
        <v>0</v>
      </c>
      <c r="AB116" s="70">
        <f>IF(AQ116="1",BH116,0)</f>
        <v>0</v>
      </c>
      <c r="AC116" s="70">
        <f>IF(AQ116="1",BI116,0)</f>
        <v>0</v>
      </c>
      <c r="AD116" s="70">
        <f>IF(AQ116="7",BH116,0)</f>
        <v>0</v>
      </c>
      <c r="AE116" s="70">
        <f>IF(AQ116="7",BI116,0)</f>
        <v>0</v>
      </c>
      <c r="AF116" s="70">
        <f>IF(AQ116="2",BH116,0)</f>
        <v>0</v>
      </c>
      <c r="AG116" s="70">
        <f>IF(AQ116="2",BI116,0)</f>
        <v>0</v>
      </c>
      <c r="AH116" s="70">
        <f>IF(AQ116="0",BJ116,0)</f>
        <v>0</v>
      </c>
      <c r="AI116" s="67" t="s">
        <v>157</v>
      </c>
      <c r="AJ116" s="70">
        <f>IF(AN116=0,K116,0)</f>
        <v>0</v>
      </c>
      <c r="AK116" s="70">
        <f>IF(AN116=15,K116,0)</f>
        <v>0</v>
      </c>
      <c r="AL116" s="70">
        <f>IF(AN116=21,K116,0)</f>
        <v>0</v>
      </c>
      <c r="AN116" s="70">
        <v>21</v>
      </c>
      <c r="AO116" s="70">
        <f>H116*1</f>
        <v>0</v>
      </c>
      <c r="AP116" s="70">
        <f>H116*(1-1)</f>
        <v>0</v>
      </c>
      <c r="AQ116" s="71" t="s">
        <v>355</v>
      </c>
      <c r="AV116" s="70">
        <f>AW116+AX116</f>
        <v>0</v>
      </c>
      <c r="AW116" s="70">
        <f>G116*AO116</f>
        <v>0</v>
      </c>
      <c r="AX116" s="70">
        <f>G116*AP116</f>
        <v>0</v>
      </c>
      <c r="AY116" s="71" t="s">
        <v>356</v>
      </c>
      <c r="AZ116" s="71" t="s">
        <v>1067</v>
      </c>
      <c r="BA116" s="67" t="s">
        <v>162</v>
      </c>
      <c r="BC116" s="70">
        <f>AW116+AX116</f>
        <v>0</v>
      </c>
      <c r="BD116" s="70">
        <f>H116/(100-BE116)*100</f>
        <v>0</v>
      </c>
      <c r="BE116" s="70">
        <v>0</v>
      </c>
      <c r="BF116" s="70">
        <f>116</f>
        <v>116</v>
      </c>
      <c r="BH116" s="70">
        <f>G116*AO116</f>
        <v>0</v>
      </c>
      <c r="BI116" s="70">
        <f>G116*AP116</f>
        <v>0</v>
      </c>
      <c r="BJ116" s="70">
        <f>G116*H116</f>
        <v>0</v>
      </c>
    </row>
    <row r="117" spans="1:12" ht="15">
      <c r="A117" s="48"/>
      <c r="B117" s="590"/>
      <c r="C117" s="727" t="s">
        <v>1088</v>
      </c>
      <c r="D117" s="728"/>
      <c r="E117" s="728"/>
      <c r="F117" s="48" t="s">
        <v>70</v>
      </c>
      <c r="G117" s="48" t="s">
        <v>70</v>
      </c>
      <c r="H117" s="48" t="s">
        <v>70</v>
      </c>
      <c r="I117" s="50">
        <f>I118+I131+I133+I136+I138</f>
        <v>0</v>
      </c>
      <c r="J117" s="50">
        <f>J118+J131+J133+J136+J138</f>
        <v>0</v>
      </c>
      <c r="K117" s="50">
        <f>K118+K131+K133+K136+K138</f>
        <v>0</v>
      </c>
      <c r="L117" s="51"/>
    </row>
    <row r="118" spans="1:47" ht="15">
      <c r="A118" s="88"/>
      <c r="B118" s="591" t="s">
        <v>177</v>
      </c>
      <c r="C118" s="710" t="s">
        <v>975</v>
      </c>
      <c r="D118" s="711"/>
      <c r="E118" s="711"/>
      <c r="F118" s="88" t="s">
        <v>70</v>
      </c>
      <c r="G118" s="88" t="s">
        <v>70</v>
      </c>
      <c r="H118" s="88" t="s">
        <v>70</v>
      </c>
      <c r="I118" s="90">
        <f>SUM(I119:I130)</f>
        <v>0</v>
      </c>
      <c r="J118" s="90">
        <f>SUM(J119:J130)</f>
        <v>0</v>
      </c>
      <c r="K118" s="90">
        <f>SUM(K119:K130)</f>
        <v>0</v>
      </c>
      <c r="L118" s="91"/>
      <c r="AI118" s="67" t="s">
        <v>171</v>
      </c>
      <c r="AS118" s="68">
        <f>SUM(AJ119:AJ130)</f>
        <v>0</v>
      </c>
      <c r="AT118" s="68">
        <f>SUM(AK119:AK130)</f>
        <v>0</v>
      </c>
      <c r="AU118" s="68">
        <f>SUM(AL119:AL130)</f>
        <v>0</v>
      </c>
    </row>
    <row r="119" spans="1:62" ht="15">
      <c r="A119" s="589" t="s">
        <v>339</v>
      </c>
      <c r="B119" s="589" t="s">
        <v>1020</v>
      </c>
      <c r="C119" s="696" t="s">
        <v>1021</v>
      </c>
      <c r="D119" s="693"/>
      <c r="E119" s="693"/>
      <c r="F119" s="589" t="s">
        <v>109</v>
      </c>
      <c r="G119" s="70">
        <v>428</v>
      </c>
      <c r="H119" s="580">
        <v>0</v>
      </c>
      <c r="I119" s="70">
        <f>G119*AO119</f>
        <v>0</v>
      </c>
      <c r="J119" s="70">
        <f>G119*AP119</f>
        <v>0</v>
      </c>
      <c r="K119" s="70">
        <f>G119*H119</f>
        <v>0</v>
      </c>
      <c r="L119" s="71" t="s">
        <v>120</v>
      </c>
      <c r="Z119" s="70">
        <f>IF(AQ119="5",BJ119,0)</f>
        <v>0</v>
      </c>
      <c r="AB119" s="70">
        <f>IF(AQ119="1",BH119,0)</f>
        <v>0</v>
      </c>
      <c r="AC119" s="70">
        <f>IF(AQ119="1",BI119,0)</f>
        <v>0</v>
      </c>
      <c r="AD119" s="70">
        <f>IF(AQ119="7",BH119,0)</f>
        <v>0</v>
      </c>
      <c r="AE119" s="70">
        <f>IF(AQ119="7",BI119,0)</f>
        <v>0</v>
      </c>
      <c r="AF119" s="70">
        <f>IF(AQ119="2",BH119,0)</f>
        <v>0</v>
      </c>
      <c r="AG119" s="70">
        <f>IF(AQ119="2",BI119,0)</f>
        <v>0</v>
      </c>
      <c r="AH119" s="70">
        <f>IF(AQ119="0",BJ119,0)</f>
        <v>0</v>
      </c>
      <c r="AI119" s="67" t="s">
        <v>171</v>
      </c>
      <c r="AJ119" s="70">
        <f>IF(AN119=0,K119,0)</f>
        <v>0</v>
      </c>
      <c r="AK119" s="70">
        <f>IF(AN119=15,K119,0)</f>
        <v>0</v>
      </c>
      <c r="AL119" s="70">
        <f>IF(AN119=21,K119,0)</f>
        <v>0</v>
      </c>
      <c r="AN119" s="70">
        <v>21</v>
      </c>
      <c r="AO119" s="70">
        <f>H119*0.00665024630541872</f>
        <v>0</v>
      </c>
      <c r="AP119" s="70">
        <f>H119*(1-0.00665024630541872)</f>
        <v>0</v>
      </c>
      <c r="AQ119" s="71" t="s">
        <v>106</v>
      </c>
      <c r="AV119" s="70">
        <f>AW119+AX119</f>
        <v>0</v>
      </c>
      <c r="AW119" s="70">
        <f>G119*AO119</f>
        <v>0</v>
      </c>
      <c r="AX119" s="70">
        <f>G119*AP119</f>
        <v>0</v>
      </c>
      <c r="AY119" s="71" t="s">
        <v>439</v>
      </c>
      <c r="AZ119" s="71" t="s">
        <v>175</v>
      </c>
      <c r="BA119" s="67" t="s">
        <v>176</v>
      </c>
      <c r="BC119" s="70">
        <f>AW119+AX119</f>
        <v>0</v>
      </c>
      <c r="BD119" s="70">
        <f>H119/(100-BE119)*100</f>
        <v>0</v>
      </c>
      <c r="BE119" s="70">
        <v>0</v>
      </c>
      <c r="BF119" s="70">
        <f>119</f>
        <v>119</v>
      </c>
      <c r="BH119" s="70">
        <f>G119*AO119</f>
        <v>0</v>
      </c>
      <c r="BI119" s="70">
        <f>G119*AP119</f>
        <v>0</v>
      </c>
      <c r="BJ119" s="70">
        <f>G119*H119</f>
        <v>0</v>
      </c>
    </row>
    <row r="120" spans="2:12" ht="51.3" customHeight="1">
      <c r="B120" s="75" t="s">
        <v>67</v>
      </c>
      <c r="C120" s="725" t="s">
        <v>1089</v>
      </c>
      <c r="D120" s="726"/>
      <c r="E120" s="726"/>
      <c r="F120" s="726"/>
      <c r="G120" s="726"/>
      <c r="H120" s="726"/>
      <c r="I120" s="726"/>
      <c r="J120" s="726"/>
      <c r="K120" s="726"/>
      <c r="L120" s="726"/>
    </row>
    <row r="121" spans="1:62" ht="15">
      <c r="A121" s="589" t="s">
        <v>342</v>
      </c>
      <c r="B121" s="589" t="s">
        <v>1023</v>
      </c>
      <c r="C121" s="696" t="s">
        <v>1090</v>
      </c>
      <c r="D121" s="693"/>
      <c r="E121" s="693"/>
      <c r="F121" s="589" t="s">
        <v>109</v>
      </c>
      <c r="G121" s="70">
        <v>428</v>
      </c>
      <c r="H121" s="580">
        <v>0</v>
      </c>
      <c r="I121" s="70">
        <f>G121*AO121</f>
        <v>0</v>
      </c>
      <c r="J121" s="70">
        <f>G121*AP121</f>
        <v>0</v>
      </c>
      <c r="K121" s="70">
        <f>G121*H121</f>
        <v>0</v>
      </c>
      <c r="L121" s="71" t="s">
        <v>120</v>
      </c>
      <c r="Z121" s="70">
        <f>IF(AQ121="5",BJ121,0)</f>
        <v>0</v>
      </c>
      <c r="AB121" s="70">
        <f>IF(AQ121="1",BH121,0)</f>
        <v>0</v>
      </c>
      <c r="AC121" s="70">
        <f>IF(AQ121="1",BI121,0)</f>
        <v>0</v>
      </c>
      <c r="AD121" s="70">
        <f>IF(AQ121="7",BH121,0)</f>
        <v>0</v>
      </c>
      <c r="AE121" s="70">
        <f>IF(AQ121="7",BI121,0)</f>
        <v>0</v>
      </c>
      <c r="AF121" s="70">
        <f>IF(AQ121="2",BH121,0)</f>
        <v>0</v>
      </c>
      <c r="AG121" s="70">
        <f>IF(AQ121="2",BI121,0)</f>
        <v>0</v>
      </c>
      <c r="AH121" s="70">
        <f>IF(AQ121="0",BJ121,0)</f>
        <v>0</v>
      </c>
      <c r="AI121" s="67" t="s">
        <v>171</v>
      </c>
      <c r="AJ121" s="70">
        <f>IF(AN121=0,K121,0)</f>
        <v>0</v>
      </c>
      <c r="AK121" s="70">
        <f>IF(AN121=15,K121,0)</f>
        <v>0</v>
      </c>
      <c r="AL121" s="70">
        <f>IF(AN121=21,K121,0)</f>
        <v>0</v>
      </c>
      <c r="AN121" s="70">
        <v>21</v>
      </c>
      <c r="AO121" s="70">
        <f>H121*0</f>
        <v>0</v>
      </c>
      <c r="AP121" s="70">
        <f>H121*(1-0)</f>
        <v>0</v>
      </c>
      <c r="AQ121" s="71" t="s">
        <v>106</v>
      </c>
      <c r="AV121" s="70">
        <f>AW121+AX121</f>
        <v>0</v>
      </c>
      <c r="AW121" s="70">
        <f>G121*AO121</f>
        <v>0</v>
      </c>
      <c r="AX121" s="70">
        <f>G121*AP121</f>
        <v>0</v>
      </c>
      <c r="AY121" s="71" t="s">
        <v>439</v>
      </c>
      <c r="AZ121" s="71" t="s">
        <v>175</v>
      </c>
      <c r="BA121" s="67" t="s">
        <v>176</v>
      </c>
      <c r="BC121" s="70">
        <f>AW121+AX121</f>
        <v>0</v>
      </c>
      <c r="BD121" s="70">
        <f>H121/(100-BE121)*100</f>
        <v>0</v>
      </c>
      <c r="BE121" s="70">
        <v>0</v>
      </c>
      <c r="BF121" s="70">
        <f>121</f>
        <v>121</v>
      </c>
      <c r="BH121" s="70">
        <f>G121*AO121</f>
        <v>0</v>
      </c>
      <c r="BI121" s="70">
        <f>G121*AP121</f>
        <v>0</v>
      </c>
      <c r="BJ121" s="70">
        <f>G121*H121</f>
        <v>0</v>
      </c>
    </row>
    <row r="122" spans="1:62" ht="15">
      <c r="A122" s="72" t="s">
        <v>347</v>
      </c>
      <c r="B122" s="72" t="s">
        <v>1091</v>
      </c>
      <c r="C122" s="712" t="s">
        <v>1047</v>
      </c>
      <c r="D122" s="693"/>
      <c r="E122" s="713"/>
      <c r="F122" s="72" t="s">
        <v>109</v>
      </c>
      <c r="G122" s="73">
        <v>428</v>
      </c>
      <c r="H122" s="581">
        <v>0</v>
      </c>
      <c r="I122" s="73">
        <f>G122*AO122</f>
        <v>0</v>
      </c>
      <c r="J122" s="73">
        <f>G122*AP122</f>
        <v>0</v>
      </c>
      <c r="K122" s="73">
        <f>G122*H122</f>
        <v>0</v>
      </c>
      <c r="L122" s="74" t="s">
        <v>120</v>
      </c>
      <c r="Z122" s="70">
        <f>IF(AQ122="5",BJ122,0)</f>
        <v>0</v>
      </c>
      <c r="AB122" s="70">
        <f>IF(AQ122="1",BH122,0)</f>
        <v>0</v>
      </c>
      <c r="AC122" s="70">
        <f>IF(AQ122="1",BI122,0)</f>
        <v>0</v>
      </c>
      <c r="AD122" s="70">
        <f>IF(AQ122="7",BH122,0)</f>
        <v>0</v>
      </c>
      <c r="AE122" s="70">
        <f>IF(AQ122="7",BI122,0)</f>
        <v>0</v>
      </c>
      <c r="AF122" s="70">
        <f>IF(AQ122="2",BH122,0)</f>
        <v>0</v>
      </c>
      <c r="AG122" s="70">
        <f>IF(AQ122="2",BI122,0)</f>
        <v>0</v>
      </c>
      <c r="AH122" s="70">
        <f>IF(AQ122="0",BJ122,0)</f>
        <v>0</v>
      </c>
      <c r="AI122" s="67" t="s">
        <v>171</v>
      </c>
      <c r="AJ122" s="70">
        <f>IF(AN122=0,K122,0)</f>
        <v>0</v>
      </c>
      <c r="AK122" s="70">
        <f>IF(AN122=15,K122,0)</f>
        <v>0</v>
      </c>
      <c r="AL122" s="70">
        <f>IF(AN122=21,K122,0)</f>
        <v>0</v>
      </c>
      <c r="AN122" s="70">
        <v>21</v>
      </c>
      <c r="AO122" s="70">
        <f>H122*0</f>
        <v>0</v>
      </c>
      <c r="AP122" s="70">
        <f>H122*(1-0)</f>
        <v>0</v>
      </c>
      <c r="AQ122" s="71" t="s">
        <v>106</v>
      </c>
      <c r="AV122" s="70">
        <f>AW122+AX122</f>
        <v>0</v>
      </c>
      <c r="AW122" s="70">
        <f>G122*AO122</f>
        <v>0</v>
      </c>
      <c r="AX122" s="70">
        <f>G122*AP122</f>
        <v>0</v>
      </c>
      <c r="AY122" s="71" t="s">
        <v>439</v>
      </c>
      <c r="AZ122" s="71" t="s">
        <v>175</v>
      </c>
      <c r="BA122" s="67" t="s">
        <v>176</v>
      </c>
      <c r="BC122" s="70">
        <f>AW122+AX122</f>
        <v>0</v>
      </c>
      <c r="BD122" s="70">
        <f>H122/(100-BE122)*100</f>
        <v>0</v>
      </c>
      <c r="BE122" s="70">
        <v>0</v>
      </c>
      <c r="BF122" s="70">
        <f>122</f>
        <v>122</v>
      </c>
      <c r="BH122" s="70">
        <f>G122*AO122</f>
        <v>0</v>
      </c>
      <c r="BI122" s="70">
        <f>G122*AP122</f>
        <v>0</v>
      </c>
      <c r="BJ122" s="70">
        <f>G122*H122</f>
        <v>0</v>
      </c>
    </row>
    <row r="123" spans="1:62" ht="15">
      <c r="A123" s="589" t="s">
        <v>352</v>
      </c>
      <c r="B123" s="589" t="s">
        <v>1092</v>
      </c>
      <c r="C123" s="696" t="s">
        <v>1093</v>
      </c>
      <c r="D123" s="693"/>
      <c r="E123" s="693"/>
      <c r="F123" s="589" t="s">
        <v>674</v>
      </c>
      <c r="G123" s="70">
        <v>1521</v>
      </c>
      <c r="H123" s="580">
        <v>0</v>
      </c>
      <c r="I123" s="70">
        <f>G123*AO123</f>
        <v>0</v>
      </c>
      <c r="J123" s="70">
        <f>G123*AP123</f>
        <v>0</v>
      </c>
      <c r="K123" s="70">
        <f>G123*H123</f>
        <v>0</v>
      </c>
      <c r="L123" s="71" t="s">
        <v>120</v>
      </c>
      <c r="Z123" s="70">
        <f>IF(AQ123="5",BJ123,0)</f>
        <v>0</v>
      </c>
      <c r="AB123" s="70">
        <f>IF(AQ123="1",BH123,0)</f>
        <v>0</v>
      </c>
      <c r="AC123" s="70">
        <f>IF(AQ123="1",BI123,0)</f>
        <v>0</v>
      </c>
      <c r="AD123" s="70">
        <f>IF(AQ123="7",BH123,0)</f>
        <v>0</v>
      </c>
      <c r="AE123" s="70">
        <f>IF(AQ123="7",BI123,0)</f>
        <v>0</v>
      </c>
      <c r="AF123" s="70">
        <f>IF(AQ123="2",BH123,0)</f>
        <v>0</v>
      </c>
      <c r="AG123" s="70">
        <f>IF(AQ123="2",BI123,0)</f>
        <v>0</v>
      </c>
      <c r="AH123" s="70">
        <f>IF(AQ123="0",BJ123,0)</f>
        <v>0</v>
      </c>
      <c r="AI123" s="67" t="s">
        <v>171</v>
      </c>
      <c r="AJ123" s="70">
        <f>IF(AN123=0,K123,0)</f>
        <v>0</v>
      </c>
      <c r="AK123" s="70">
        <f>IF(AN123=15,K123,0)</f>
        <v>0</v>
      </c>
      <c r="AL123" s="70">
        <f>IF(AN123=21,K123,0)</f>
        <v>0</v>
      </c>
      <c r="AN123" s="70">
        <v>21</v>
      </c>
      <c r="AO123" s="70">
        <f>H123*0</f>
        <v>0</v>
      </c>
      <c r="AP123" s="70">
        <f>H123*(1-0)</f>
        <v>0</v>
      </c>
      <c r="AQ123" s="71" t="s">
        <v>106</v>
      </c>
      <c r="AV123" s="70">
        <f>AW123+AX123</f>
        <v>0</v>
      </c>
      <c r="AW123" s="70">
        <f>G123*AO123</f>
        <v>0</v>
      </c>
      <c r="AX123" s="70">
        <f>G123*AP123</f>
        <v>0</v>
      </c>
      <c r="AY123" s="71" t="s">
        <v>439</v>
      </c>
      <c r="AZ123" s="71" t="s">
        <v>175</v>
      </c>
      <c r="BA123" s="67" t="s">
        <v>176</v>
      </c>
      <c r="BC123" s="70">
        <f>AW123+AX123</f>
        <v>0</v>
      </c>
      <c r="BD123" s="70">
        <f>H123/(100-BE123)*100</f>
        <v>0</v>
      </c>
      <c r="BE123" s="70">
        <v>0</v>
      </c>
      <c r="BF123" s="70">
        <f>123</f>
        <v>123</v>
      </c>
      <c r="BH123" s="70">
        <f>G123*AO123</f>
        <v>0</v>
      </c>
      <c r="BI123" s="70">
        <f>G123*AP123</f>
        <v>0</v>
      </c>
      <c r="BJ123" s="70">
        <f>G123*H123</f>
        <v>0</v>
      </c>
    </row>
    <row r="124" spans="2:12" ht="25.35" customHeight="1">
      <c r="B124" s="75" t="s">
        <v>67</v>
      </c>
      <c r="C124" s="725" t="s">
        <v>1094</v>
      </c>
      <c r="D124" s="726"/>
      <c r="E124" s="726"/>
      <c r="F124" s="726"/>
      <c r="G124" s="726"/>
      <c r="H124" s="726"/>
      <c r="I124" s="726"/>
      <c r="J124" s="726"/>
      <c r="K124" s="726"/>
      <c r="L124" s="726"/>
    </row>
    <row r="125" spans="1:62" ht="15">
      <c r="A125" s="589" t="s">
        <v>359</v>
      </c>
      <c r="B125" s="589" t="s">
        <v>1095</v>
      </c>
      <c r="C125" s="696" t="s">
        <v>1096</v>
      </c>
      <c r="D125" s="693"/>
      <c r="E125" s="693"/>
      <c r="F125" s="589" t="s">
        <v>674</v>
      </c>
      <c r="G125" s="70">
        <v>1000</v>
      </c>
      <c r="H125" s="580">
        <v>0</v>
      </c>
      <c r="I125" s="70">
        <f>G125*AO125</f>
        <v>0</v>
      </c>
      <c r="J125" s="70">
        <f>G125*AP125</f>
        <v>0</v>
      </c>
      <c r="K125" s="70">
        <f>G125*H125</f>
        <v>0</v>
      </c>
      <c r="L125" s="71" t="s">
        <v>120</v>
      </c>
      <c r="Z125" s="70">
        <f>IF(AQ125="5",BJ125,0)</f>
        <v>0</v>
      </c>
      <c r="AB125" s="70">
        <f>IF(AQ125="1",BH125,0)</f>
        <v>0</v>
      </c>
      <c r="AC125" s="70">
        <f>IF(AQ125="1",BI125,0)</f>
        <v>0</v>
      </c>
      <c r="AD125" s="70">
        <f>IF(AQ125="7",BH125,0)</f>
        <v>0</v>
      </c>
      <c r="AE125" s="70">
        <f>IF(AQ125="7",BI125,0)</f>
        <v>0</v>
      </c>
      <c r="AF125" s="70">
        <f>IF(AQ125="2",BH125,0)</f>
        <v>0</v>
      </c>
      <c r="AG125" s="70">
        <f>IF(AQ125="2",BI125,0)</f>
        <v>0</v>
      </c>
      <c r="AH125" s="70">
        <f>IF(AQ125="0",BJ125,0)</f>
        <v>0</v>
      </c>
      <c r="AI125" s="67" t="s">
        <v>171</v>
      </c>
      <c r="AJ125" s="70">
        <f>IF(AN125=0,K125,0)</f>
        <v>0</v>
      </c>
      <c r="AK125" s="70">
        <f>IF(AN125=15,K125,0)</f>
        <v>0</v>
      </c>
      <c r="AL125" s="70">
        <f>IF(AN125=21,K125,0)</f>
        <v>0</v>
      </c>
      <c r="AN125" s="70">
        <v>21</v>
      </c>
      <c r="AO125" s="70">
        <f>H125*0</f>
        <v>0</v>
      </c>
      <c r="AP125" s="70">
        <f>H125*(1-0)</f>
        <v>0</v>
      </c>
      <c r="AQ125" s="71" t="s">
        <v>106</v>
      </c>
      <c r="AV125" s="70">
        <f>AW125+AX125</f>
        <v>0</v>
      </c>
      <c r="AW125" s="70">
        <f>G125*AO125</f>
        <v>0</v>
      </c>
      <c r="AX125" s="70">
        <f>G125*AP125</f>
        <v>0</v>
      </c>
      <c r="AY125" s="71" t="s">
        <v>439</v>
      </c>
      <c r="AZ125" s="71" t="s">
        <v>175</v>
      </c>
      <c r="BA125" s="67" t="s">
        <v>176</v>
      </c>
      <c r="BC125" s="70">
        <f>AW125+AX125</f>
        <v>0</v>
      </c>
      <c r="BD125" s="70">
        <f>H125/(100-BE125)*100</f>
        <v>0</v>
      </c>
      <c r="BE125" s="70">
        <v>0</v>
      </c>
      <c r="BF125" s="70">
        <f>125</f>
        <v>125</v>
      </c>
      <c r="BH125" s="70">
        <f>G125*AO125</f>
        <v>0</v>
      </c>
      <c r="BI125" s="70">
        <f>G125*AP125</f>
        <v>0</v>
      </c>
      <c r="BJ125" s="70">
        <f>G125*H125</f>
        <v>0</v>
      </c>
    </row>
    <row r="126" spans="2:12" ht="25.35" customHeight="1">
      <c r="B126" s="75" t="s">
        <v>67</v>
      </c>
      <c r="C126" s="725" t="s">
        <v>1097</v>
      </c>
      <c r="D126" s="726"/>
      <c r="E126" s="726"/>
      <c r="F126" s="726"/>
      <c r="G126" s="726"/>
      <c r="H126" s="726"/>
      <c r="I126" s="726"/>
      <c r="J126" s="726"/>
      <c r="K126" s="726"/>
      <c r="L126" s="726"/>
    </row>
    <row r="127" spans="1:62" ht="15">
      <c r="A127" s="589" t="s">
        <v>362</v>
      </c>
      <c r="B127" s="589" t="s">
        <v>1098</v>
      </c>
      <c r="C127" s="696" t="s">
        <v>1099</v>
      </c>
      <c r="D127" s="693"/>
      <c r="E127" s="693"/>
      <c r="F127" s="589" t="s">
        <v>674</v>
      </c>
      <c r="G127" s="70">
        <v>1521</v>
      </c>
      <c r="H127" s="580">
        <v>0</v>
      </c>
      <c r="I127" s="70">
        <f>G127*AO127</f>
        <v>0</v>
      </c>
      <c r="J127" s="70">
        <f>G127*AP127</f>
        <v>0</v>
      </c>
      <c r="K127" s="70">
        <f>G127*H127</f>
        <v>0</v>
      </c>
      <c r="L127" s="71" t="s">
        <v>120</v>
      </c>
      <c r="Z127" s="70">
        <f>IF(AQ127="5",BJ127,0)</f>
        <v>0</v>
      </c>
      <c r="AB127" s="70">
        <f>IF(AQ127="1",BH127,0)</f>
        <v>0</v>
      </c>
      <c r="AC127" s="70">
        <f>IF(AQ127="1",BI127,0)</f>
        <v>0</v>
      </c>
      <c r="AD127" s="70">
        <f>IF(AQ127="7",BH127,0)</f>
        <v>0</v>
      </c>
      <c r="AE127" s="70">
        <f>IF(AQ127="7",BI127,0)</f>
        <v>0</v>
      </c>
      <c r="AF127" s="70">
        <f>IF(AQ127="2",BH127,0)</f>
        <v>0</v>
      </c>
      <c r="AG127" s="70">
        <f>IF(AQ127="2",BI127,0)</f>
        <v>0</v>
      </c>
      <c r="AH127" s="70">
        <f>IF(AQ127="0",BJ127,0)</f>
        <v>0</v>
      </c>
      <c r="AI127" s="67" t="s">
        <v>171</v>
      </c>
      <c r="AJ127" s="70">
        <f>IF(AN127=0,K127,0)</f>
        <v>0</v>
      </c>
      <c r="AK127" s="70">
        <f>IF(AN127=15,K127,0)</f>
        <v>0</v>
      </c>
      <c r="AL127" s="70">
        <f>IF(AN127=21,K127,0)</f>
        <v>0</v>
      </c>
      <c r="AN127" s="70">
        <v>21</v>
      </c>
      <c r="AO127" s="70">
        <f>H127*0.0110821904094504</f>
        <v>0</v>
      </c>
      <c r="AP127" s="70">
        <f>H127*(1-0.0110821904094504)</f>
        <v>0</v>
      </c>
      <c r="AQ127" s="71" t="s">
        <v>106</v>
      </c>
      <c r="AV127" s="70">
        <f>AW127+AX127</f>
        <v>0</v>
      </c>
      <c r="AW127" s="70">
        <f>G127*AO127</f>
        <v>0</v>
      </c>
      <c r="AX127" s="70">
        <f>G127*AP127</f>
        <v>0</v>
      </c>
      <c r="AY127" s="71" t="s">
        <v>439</v>
      </c>
      <c r="AZ127" s="71" t="s">
        <v>175</v>
      </c>
      <c r="BA127" s="67" t="s">
        <v>176</v>
      </c>
      <c r="BC127" s="70">
        <f>AW127+AX127</f>
        <v>0</v>
      </c>
      <c r="BD127" s="70">
        <f>H127/(100-BE127)*100</f>
        <v>0</v>
      </c>
      <c r="BE127" s="70">
        <v>0</v>
      </c>
      <c r="BF127" s="70">
        <f>127</f>
        <v>127</v>
      </c>
      <c r="BH127" s="70">
        <f>G127*AO127</f>
        <v>0</v>
      </c>
      <c r="BI127" s="70">
        <f>G127*AP127</f>
        <v>0</v>
      </c>
      <c r="BJ127" s="70">
        <f>G127*H127</f>
        <v>0</v>
      </c>
    </row>
    <row r="128" spans="1:62" ht="15">
      <c r="A128" s="589" t="s">
        <v>365</v>
      </c>
      <c r="B128" s="589" t="s">
        <v>1051</v>
      </c>
      <c r="C128" s="696" t="s">
        <v>1100</v>
      </c>
      <c r="D128" s="693"/>
      <c r="E128" s="693"/>
      <c r="F128" s="589" t="s">
        <v>674</v>
      </c>
      <c r="G128" s="70">
        <v>1000</v>
      </c>
      <c r="H128" s="580">
        <v>0</v>
      </c>
      <c r="I128" s="70">
        <f>G128*AO128</f>
        <v>0</v>
      </c>
      <c r="J128" s="70">
        <f>G128*AP128</f>
        <v>0</v>
      </c>
      <c r="K128" s="70">
        <f>G128*H128</f>
        <v>0</v>
      </c>
      <c r="L128" s="71" t="s">
        <v>120</v>
      </c>
      <c r="Z128" s="70">
        <f>IF(AQ128="5",BJ128,0)</f>
        <v>0</v>
      </c>
      <c r="AB128" s="70">
        <f>IF(AQ128="1",BH128,0)</f>
        <v>0</v>
      </c>
      <c r="AC128" s="70">
        <f>IF(AQ128="1",BI128,0)</f>
        <v>0</v>
      </c>
      <c r="AD128" s="70">
        <f>IF(AQ128="7",BH128,0)</f>
        <v>0</v>
      </c>
      <c r="AE128" s="70">
        <f>IF(AQ128="7",BI128,0)</f>
        <v>0</v>
      </c>
      <c r="AF128" s="70">
        <f>IF(AQ128="2",BH128,0)</f>
        <v>0</v>
      </c>
      <c r="AG128" s="70">
        <f>IF(AQ128="2",BI128,0)</f>
        <v>0</v>
      </c>
      <c r="AH128" s="70">
        <f>IF(AQ128="0",BJ128,0)</f>
        <v>0</v>
      </c>
      <c r="AI128" s="67" t="s">
        <v>171</v>
      </c>
      <c r="AJ128" s="70">
        <f>IF(AN128=0,K128,0)</f>
        <v>0</v>
      </c>
      <c r="AK128" s="70">
        <f>IF(AN128=15,K128,0)</f>
        <v>0</v>
      </c>
      <c r="AL128" s="70">
        <f>IF(AN128=21,K128,0)</f>
        <v>0</v>
      </c>
      <c r="AN128" s="70">
        <v>21</v>
      </c>
      <c r="AO128" s="70">
        <f>H128*0.00948012232415902</f>
        <v>0</v>
      </c>
      <c r="AP128" s="70">
        <f>H128*(1-0.00948012232415902)</f>
        <v>0</v>
      </c>
      <c r="AQ128" s="71" t="s">
        <v>106</v>
      </c>
      <c r="AV128" s="70">
        <f>AW128+AX128</f>
        <v>0</v>
      </c>
      <c r="AW128" s="70">
        <f>G128*AO128</f>
        <v>0</v>
      </c>
      <c r="AX128" s="70">
        <f>G128*AP128</f>
        <v>0</v>
      </c>
      <c r="AY128" s="71" t="s">
        <v>439</v>
      </c>
      <c r="AZ128" s="71" t="s">
        <v>175</v>
      </c>
      <c r="BA128" s="67" t="s">
        <v>176</v>
      </c>
      <c r="BC128" s="70">
        <f>AW128+AX128</f>
        <v>0</v>
      </c>
      <c r="BD128" s="70">
        <f>H128/(100-BE128)*100</f>
        <v>0</v>
      </c>
      <c r="BE128" s="70">
        <v>0</v>
      </c>
      <c r="BF128" s="70">
        <f>128</f>
        <v>128</v>
      </c>
      <c r="BH128" s="70">
        <f>G128*AO128</f>
        <v>0</v>
      </c>
      <c r="BI128" s="70">
        <f>G128*AP128</f>
        <v>0</v>
      </c>
      <c r="BJ128" s="70">
        <f>G128*H128</f>
        <v>0</v>
      </c>
    </row>
    <row r="129" spans="1:62" ht="15">
      <c r="A129" s="589" t="s">
        <v>369</v>
      </c>
      <c r="B129" s="589" t="s">
        <v>1059</v>
      </c>
      <c r="C129" s="696" t="s">
        <v>1101</v>
      </c>
      <c r="D129" s="693"/>
      <c r="E129" s="693"/>
      <c r="F129" s="589" t="s">
        <v>109</v>
      </c>
      <c r="G129" s="70">
        <v>428</v>
      </c>
      <c r="H129" s="580">
        <v>0</v>
      </c>
      <c r="I129" s="70">
        <f>G129*AO129</f>
        <v>0</v>
      </c>
      <c r="J129" s="70">
        <f>G129*AP129</f>
        <v>0</v>
      </c>
      <c r="K129" s="70">
        <f>G129*H129</f>
        <v>0</v>
      </c>
      <c r="L129" s="71" t="s">
        <v>120</v>
      </c>
      <c r="Z129" s="70">
        <f>IF(AQ129="5",BJ129,0)</f>
        <v>0</v>
      </c>
      <c r="AB129" s="70">
        <f>IF(AQ129="1",BH129,0)</f>
        <v>0</v>
      </c>
      <c r="AC129" s="70">
        <f>IF(AQ129="1",BI129,0)</f>
        <v>0</v>
      </c>
      <c r="AD129" s="70">
        <f>IF(AQ129="7",BH129,0)</f>
        <v>0</v>
      </c>
      <c r="AE129" s="70">
        <f>IF(AQ129="7",BI129,0)</f>
        <v>0</v>
      </c>
      <c r="AF129" s="70">
        <f>IF(AQ129="2",BH129,0)</f>
        <v>0</v>
      </c>
      <c r="AG129" s="70">
        <f>IF(AQ129="2",BI129,0)</f>
        <v>0</v>
      </c>
      <c r="AH129" s="70">
        <f>IF(AQ129="0",BJ129,0)</f>
        <v>0</v>
      </c>
      <c r="AI129" s="67" t="s">
        <v>171</v>
      </c>
      <c r="AJ129" s="70">
        <f>IF(AN129=0,K129,0)</f>
        <v>0</v>
      </c>
      <c r="AK129" s="70">
        <f>IF(AN129=15,K129,0)</f>
        <v>0</v>
      </c>
      <c r="AL129" s="70">
        <f>IF(AN129=21,K129,0)</f>
        <v>0</v>
      </c>
      <c r="AN129" s="70">
        <v>21</v>
      </c>
      <c r="AO129" s="70">
        <f>H129*0</f>
        <v>0</v>
      </c>
      <c r="AP129" s="70">
        <f>H129*(1-0)</f>
        <v>0</v>
      </c>
      <c r="AQ129" s="71" t="s">
        <v>106</v>
      </c>
      <c r="AV129" s="70">
        <f>AW129+AX129</f>
        <v>0</v>
      </c>
      <c r="AW129" s="70">
        <f>G129*AO129</f>
        <v>0</v>
      </c>
      <c r="AX129" s="70">
        <f>G129*AP129</f>
        <v>0</v>
      </c>
      <c r="AY129" s="71" t="s">
        <v>439</v>
      </c>
      <c r="AZ129" s="71" t="s">
        <v>175</v>
      </c>
      <c r="BA129" s="67" t="s">
        <v>176</v>
      </c>
      <c r="BC129" s="70">
        <f>AW129+AX129</f>
        <v>0</v>
      </c>
      <c r="BD129" s="70">
        <f>H129/(100-BE129)*100</f>
        <v>0</v>
      </c>
      <c r="BE129" s="70">
        <v>0</v>
      </c>
      <c r="BF129" s="70">
        <f>129</f>
        <v>129</v>
      </c>
      <c r="BH129" s="70">
        <f>G129*AO129</f>
        <v>0</v>
      </c>
      <c r="BI129" s="70">
        <f>G129*AP129</f>
        <v>0</v>
      </c>
      <c r="BJ129" s="70">
        <f>G129*H129</f>
        <v>0</v>
      </c>
    </row>
    <row r="130" spans="1:62" ht="15">
      <c r="A130" s="589" t="s">
        <v>374</v>
      </c>
      <c r="B130" s="589" t="s">
        <v>994</v>
      </c>
      <c r="C130" s="696" t="s">
        <v>1062</v>
      </c>
      <c r="D130" s="693"/>
      <c r="E130" s="693"/>
      <c r="F130" s="589" t="s">
        <v>253</v>
      </c>
      <c r="G130" s="70">
        <v>17</v>
      </c>
      <c r="H130" s="580">
        <v>0</v>
      </c>
      <c r="I130" s="70">
        <f>G130*AO130</f>
        <v>0</v>
      </c>
      <c r="J130" s="70">
        <f>G130*AP130</f>
        <v>0</v>
      </c>
      <c r="K130" s="70">
        <f>G130*H130</f>
        <v>0</v>
      </c>
      <c r="L130" s="71" t="s">
        <v>996</v>
      </c>
      <c r="Z130" s="70">
        <f>IF(AQ130="5",BJ130,0)</f>
        <v>0</v>
      </c>
      <c r="AB130" s="70">
        <f>IF(AQ130="1",BH130,0)</f>
        <v>0</v>
      </c>
      <c r="AC130" s="70">
        <f>IF(AQ130="1",BI130,0)</f>
        <v>0</v>
      </c>
      <c r="AD130" s="70">
        <f>IF(AQ130="7",BH130,0)</f>
        <v>0</v>
      </c>
      <c r="AE130" s="70">
        <f>IF(AQ130="7",BI130,0)</f>
        <v>0</v>
      </c>
      <c r="AF130" s="70">
        <f>IF(AQ130="2",BH130,0)</f>
        <v>0</v>
      </c>
      <c r="AG130" s="70">
        <f>IF(AQ130="2",BI130,0)</f>
        <v>0</v>
      </c>
      <c r="AH130" s="70">
        <f>IF(AQ130="0",BJ130,0)</f>
        <v>0</v>
      </c>
      <c r="AI130" s="67" t="s">
        <v>171</v>
      </c>
      <c r="AJ130" s="70">
        <f>IF(AN130=0,K130,0)</f>
        <v>0</v>
      </c>
      <c r="AK130" s="70">
        <f>IF(AN130=15,K130,0)</f>
        <v>0</v>
      </c>
      <c r="AL130" s="70">
        <f>IF(AN130=21,K130,0)</f>
        <v>0</v>
      </c>
      <c r="AN130" s="70">
        <v>21</v>
      </c>
      <c r="AO130" s="70">
        <f>H130*0</f>
        <v>0</v>
      </c>
      <c r="AP130" s="70">
        <f>H130*(1-0)</f>
        <v>0</v>
      </c>
      <c r="AQ130" s="71" t="s">
        <v>106</v>
      </c>
      <c r="AV130" s="70">
        <f>AW130+AX130</f>
        <v>0</v>
      </c>
      <c r="AW130" s="70">
        <f>G130*AO130</f>
        <v>0</v>
      </c>
      <c r="AX130" s="70">
        <f>G130*AP130</f>
        <v>0</v>
      </c>
      <c r="AY130" s="71" t="s">
        <v>439</v>
      </c>
      <c r="AZ130" s="71" t="s">
        <v>175</v>
      </c>
      <c r="BA130" s="67" t="s">
        <v>176</v>
      </c>
      <c r="BC130" s="70">
        <f>AW130+AX130</f>
        <v>0</v>
      </c>
      <c r="BD130" s="70">
        <f>H130/(100-BE130)*100</f>
        <v>0</v>
      </c>
      <c r="BE130" s="70">
        <v>0</v>
      </c>
      <c r="BF130" s="70">
        <f>130</f>
        <v>130</v>
      </c>
      <c r="BH130" s="70">
        <f>G130*AO130</f>
        <v>0</v>
      </c>
      <c r="BI130" s="70">
        <f>G130*AP130</f>
        <v>0</v>
      </c>
      <c r="BJ130" s="70">
        <f>G130*H130</f>
        <v>0</v>
      </c>
    </row>
    <row r="131" spans="1:47" ht="15">
      <c r="A131" s="88"/>
      <c r="B131" s="591" t="s">
        <v>1102</v>
      </c>
      <c r="C131" s="710" t="s">
        <v>1103</v>
      </c>
      <c r="D131" s="711"/>
      <c r="E131" s="711"/>
      <c r="F131" s="88" t="s">
        <v>70</v>
      </c>
      <c r="G131" s="88" t="s">
        <v>70</v>
      </c>
      <c r="H131" s="624" t="s">
        <v>70</v>
      </c>
      <c r="I131" s="90">
        <f>SUM(I132:I132)</f>
        <v>0</v>
      </c>
      <c r="J131" s="90">
        <f>SUM(J132:J132)</f>
        <v>0</v>
      </c>
      <c r="K131" s="90">
        <f>SUM(K132:K132)</f>
        <v>0</v>
      </c>
      <c r="L131" s="91"/>
      <c r="AI131" s="67" t="s">
        <v>171</v>
      </c>
      <c r="AS131" s="68">
        <f>SUM(AJ132:AJ132)</f>
        <v>0</v>
      </c>
      <c r="AT131" s="68">
        <f>SUM(AK132:AK132)</f>
        <v>0</v>
      </c>
      <c r="AU131" s="68">
        <f>SUM(AL132:AL132)</f>
        <v>0</v>
      </c>
    </row>
    <row r="132" spans="1:62" ht="15">
      <c r="A132" s="589" t="s">
        <v>377</v>
      </c>
      <c r="B132" s="589" t="s">
        <v>1104</v>
      </c>
      <c r="C132" s="696" t="s">
        <v>1105</v>
      </c>
      <c r="D132" s="693"/>
      <c r="E132" s="693"/>
      <c r="F132" s="589" t="s">
        <v>697</v>
      </c>
      <c r="G132" s="70">
        <v>109</v>
      </c>
      <c r="H132" s="580">
        <v>0</v>
      </c>
      <c r="I132" s="70">
        <f>G132*AO132</f>
        <v>0</v>
      </c>
      <c r="J132" s="70">
        <f>G132*AP132</f>
        <v>0</v>
      </c>
      <c r="K132" s="70">
        <f>G132*H132</f>
        <v>0</v>
      </c>
      <c r="L132" s="71"/>
      <c r="Z132" s="70">
        <f>IF(AQ132="5",BJ132,0)</f>
        <v>0</v>
      </c>
      <c r="AB132" s="70">
        <f>IF(AQ132="1",BH132,0)</f>
        <v>0</v>
      </c>
      <c r="AC132" s="70">
        <f>IF(AQ132="1",BI132,0)</f>
        <v>0</v>
      </c>
      <c r="AD132" s="70">
        <f>IF(AQ132="7",BH132,0)</f>
        <v>0</v>
      </c>
      <c r="AE132" s="70">
        <f>IF(AQ132="7",BI132,0)</f>
        <v>0</v>
      </c>
      <c r="AF132" s="70">
        <f>IF(AQ132="2",BH132,0)</f>
        <v>0</v>
      </c>
      <c r="AG132" s="70">
        <f>IF(AQ132="2",BI132,0)</f>
        <v>0</v>
      </c>
      <c r="AH132" s="70">
        <f>IF(AQ132="0",BJ132,0)</f>
        <v>0</v>
      </c>
      <c r="AI132" s="67" t="s">
        <v>171</v>
      </c>
      <c r="AJ132" s="70">
        <f>IF(AN132=0,K132,0)</f>
        <v>0</v>
      </c>
      <c r="AK132" s="70">
        <f>IF(AN132=15,K132,0)</f>
        <v>0</v>
      </c>
      <c r="AL132" s="70">
        <f>IF(AN132=21,K132,0)</f>
        <v>0</v>
      </c>
      <c r="AN132" s="70">
        <v>21</v>
      </c>
      <c r="AO132" s="70">
        <f>H132*0</f>
        <v>0</v>
      </c>
      <c r="AP132" s="70">
        <f>H132*(1-0)</f>
        <v>0</v>
      </c>
      <c r="AQ132" s="71" t="s">
        <v>106</v>
      </c>
      <c r="AV132" s="70">
        <f>AW132+AX132</f>
        <v>0</v>
      </c>
      <c r="AW132" s="70">
        <f>G132*AO132</f>
        <v>0</v>
      </c>
      <c r="AX132" s="70">
        <f>G132*AP132</f>
        <v>0</v>
      </c>
      <c r="AY132" s="71" t="s">
        <v>1106</v>
      </c>
      <c r="AZ132" s="71" t="s">
        <v>1107</v>
      </c>
      <c r="BA132" s="67" t="s">
        <v>176</v>
      </c>
      <c r="BC132" s="70">
        <f>AW132+AX132</f>
        <v>0</v>
      </c>
      <c r="BD132" s="70">
        <f>H132/(100-BE132)*100</f>
        <v>0</v>
      </c>
      <c r="BE132" s="70">
        <v>0</v>
      </c>
      <c r="BF132" s="70">
        <f>132</f>
        <v>132</v>
      </c>
      <c r="BH132" s="70">
        <f>G132*AO132</f>
        <v>0</v>
      </c>
      <c r="BI132" s="70">
        <f>G132*AP132</f>
        <v>0</v>
      </c>
      <c r="BJ132" s="70">
        <f>G132*H132</f>
        <v>0</v>
      </c>
    </row>
    <row r="133" spans="1:47" ht="15">
      <c r="A133" s="88"/>
      <c r="B133" s="591" t="s">
        <v>314</v>
      </c>
      <c r="C133" s="710" t="s">
        <v>327</v>
      </c>
      <c r="D133" s="711"/>
      <c r="E133" s="711"/>
      <c r="F133" s="88" t="s">
        <v>70</v>
      </c>
      <c r="G133" s="88" t="s">
        <v>70</v>
      </c>
      <c r="H133" s="624" t="s">
        <v>70</v>
      </c>
      <c r="I133" s="90">
        <f>SUM(I134:I134)</f>
        <v>0</v>
      </c>
      <c r="J133" s="90">
        <f>SUM(J134:J134)</f>
        <v>0</v>
      </c>
      <c r="K133" s="90">
        <f>SUM(K134:K134)</f>
        <v>0</v>
      </c>
      <c r="L133" s="91"/>
      <c r="AI133" s="67" t="s">
        <v>171</v>
      </c>
      <c r="AS133" s="68">
        <f>SUM(AJ134:AJ134)</f>
        <v>0</v>
      </c>
      <c r="AT133" s="68">
        <f>SUM(AK134:AK134)</f>
        <v>0</v>
      </c>
      <c r="AU133" s="68">
        <f>SUM(AL134:AL134)</f>
        <v>0</v>
      </c>
    </row>
    <row r="134" spans="1:62" ht="15">
      <c r="A134" s="589" t="s">
        <v>378</v>
      </c>
      <c r="B134" s="589" t="s">
        <v>335</v>
      </c>
      <c r="C134" s="696" t="s">
        <v>1063</v>
      </c>
      <c r="D134" s="693"/>
      <c r="E134" s="693"/>
      <c r="F134" s="589" t="s">
        <v>337</v>
      </c>
      <c r="G134" s="70">
        <v>180</v>
      </c>
      <c r="H134" s="580">
        <v>0</v>
      </c>
      <c r="I134" s="70">
        <f>G134*AO134</f>
        <v>0</v>
      </c>
      <c r="J134" s="70">
        <f>G134*AP134</f>
        <v>0</v>
      </c>
      <c r="K134" s="70">
        <f>G134*H134</f>
        <v>0</v>
      </c>
      <c r="L134" s="71"/>
      <c r="Z134" s="70">
        <f>IF(AQ134="5",BJ134,0)</f>
        <v>0</v>
      </c>
      <c r="AB134" s="70">
        <f>IF(AQ134="1",BH134,0)</f>
        <v>0</v>
      </c>
      <c r="AC134" s="70">
        <f>IF(AQ134="1",BI134,0)</f>
        <v>0</v>
      </c>
      <c r="AD134" s="70">
        <f>IF(AQ134="7",BH134,0)</f>
        <v>0</v>
      </c>
      <c r="AE134" s="70">
        <f>IF(AQ134="7",BI134,0)</f>
        <v>0</v>
      </c>
      <c r="AF134" s="70">
        <f>IF(AQ134="2",BH134,0)</f>
        <v>0</v>
      </c>
      <c r="AG134" s="70">
        <f>IF(AQ134="2",BI134,0)</f>
        <v>0</v>
      </c>
      <c r="AH134" s="70">
        <f>IF(AQ134="0",BJ134,0)</f>
        <v>0</v>
      </c>
      <c r="AI134" s="67" t="s">
        <v>171</v>
      </c>
      <c r="AJ134" s="70">
        <f>IF(AN134=0,K134,0)</f>
        <v>0</v>
      </c>
      <c r="AK134" s="70">
        <f>IF(AN134=15,K134,0)</f>
        <v>0</v>
      </c>
      <c r="AL134" s="70">
        <f>IF(AN134=21,K134,0)</f>
        <v>0</v>
      </c>
      <c r="AN134" s="70">
        <v>21</v>
      </c>
      <c r="AO134" s="70">
        <f>H134*0</f>
        <v>0</v>
      </c>
      <c r="AP134" s="70">
        <f>H134*(1-0)</f>
        <v>0</v>
      </c>
      <c r="AQ134" s="71" t="s">
        <v>124</v>
      </c>
      <c r="AV134" s="70">
        <f>AW134+AX134</f>
        <v>0</v>
      </c>
      <c r="AW134" s="70">
        <f>G134*AO134</f>
        <v>0</v>
      </c>
      <c r="AX134" s="70">
        <f>G134*AP134</f>
        <v>0</v>
      </c>
      <c r="AY134" s="71" t="s">
        <v>331</v>
      </c>
      <c r="AZ134" s="71" t="s">
        <v>1108</v>
      </c>
      <c r="BA134" s="67" t="s">
        <v>176</v>
      </c>
      <c r="BC134" s="70">
        <f>AW134+AX134</f>
        <v>0</v>
      </c>
      <c r="BD134" s="70">
        <f>H134/(100-BE134)*100</f>
        <v>0</v>
      </c>
      <c r="BE134" s="70">
        <v>0</v>
      </c>
      <c r="BF134" s="70">
        <f>134</f>
        <v>134</v>
      </c>
      <c r="BH134" s="70">
        <f>G134*AO134</f>
        <v>0</v>
      </c>
      <c r="BI134" s="70">
        <f>G134*AP134</f>
        <v>0</v>
      </c>
      <c r="BJ134" s="70">
        <f>G134*H134</f>
        <v>0</v>
      </c>
    </row>
    <row r="135" spans="2:12" ht="38.7" customHeight="1">
      <c r="B135" s="75" t="s">
        <v>67</v>
      </c>
      <c r="C135" s="725" t="s">
        <v>1109</v>
      </c>
      <c r="D135" s="726"/>
      <c r="E135" s="726"/>
      <c r="F135" s="726"/>
      <c r="G135" s="726"/>
      <c r="H135" s="726"/>
      <c r="I135" s="726"/>
      <c r="J135" s="726"/>
      <c r="K135" s="726"/>
      <c r="L135" s="726"/>
    </row>
    <row r="136" spans="1:47" ht="15">
      <c r="A136" s="88"/>
      <c r="B136" s="591" t="s">
        <v>345</v>
      </c>
      <c r="C136" s="710" t="s">
        <v>346</v>
      </c>
      <c r="D136" s="711"/>
      <c r="E136" s="711"/>
      <c r="F136" s="88" t="s">
        <v>70</v>
      </c>
      <c r="G136" s="88" t="s">
        <v>70</v>
      </c>
      <c r="H136" s="624" t="s">
        <v>70</v>
      </c>
      <c r="I136" s="90">
        <f>SUM(I137:I137)</f>
        <v>0</v>
      </c>
      <c r="J136" s="90">
        <f>SUM(J137:J137)</f>
        <v>0</v>
      </c>
      <c r="K136" s="90">
        <f>SUM(K137:K137)</f>
        <v>0</v>
      </c>
      <c r="L136" s="91"/>
      <c r="AI136" s="67" t="s">
        <v>171</v>
      </c>
      <c r="AS136" s="68">
        <f>SUM(AJ137:AJ137)</f>
        <v>0</v>
      </c>
      <c r="AT136" s="68">
        <f>SUM(AK137:AK137)</f>
        <v>0</v>
      </c>
      <c r="AU136" s="68">
        <f>SUM(AL137:AL137)</f>
        <v>0</v>
      </c>
    </row>
    <row r="137" spans="1:62" ht="15">
      <c r="A137" s="589" t="s">
        <v>380</v>
      </c>
      <c r="B137" s="589" t="s">
        <v>684</v>
      </c>
      <c r="C137" s="696" t="s">
        <v>685</v>
      </c>
      <c r="D137" s="693"/>
      <c r="E137" s="693"/>
      <c r="F137" s="589" t="s">
        <v>132</v>
      </c>
      <c r="G137" s="70">
        <v>38.5</v>
      </c>
      <c r="H137" s="580">
        <v>0</v>
      </c>
      <c r="I137" s="70">
        <f>G137*AO137</f>
        <v>0</v>
      </c>
      <c r="J137" s="70">
        <f>G137*AP137</f>
        <v>0</v>
      </c>
      <c r="K137" s="70">
        <f>G137*H137</f>
        <v>0</v>
      </c>
      <c r="L137" s="71" t="s">
        <v>120</v>
      </c>
      <c r="Z137" s="70">
        <f>IF(AQ137="5",BJ137,0)</f>
        <v>0</v>
      </c>
      <c r="AB137" s="70">
        <f>IF(AQ137="1",BH137,0)</f>
        <v>0</v>
      </c>
      <c r="AC137" s="70">
        <f>IF(AQ137="1",BI137,0)</f>
        <v>0</v>
      </c>
      <c r="AD137" s="70">
        <f>IF(AQ137="7",BH137,0)</f>
        <v>0</v>
      </c>
      <c r="AE137" s="70">
        <f>IF(AQ137="7",BI137,0)</f>
        <v>0</v>
      </c>
      <c r="AF137" s="70">
        <f>IF(AQ137="2",BH137,0)</f>
        <v>0</v>
      </c>
      <c r="AG137" s="70">
        <f>IF(AQ137="2",BI137,0)</f>
        <v>0</v>
      </c>
      <c r="AH137" s="70">
        <f>IF(AQ137="0",BJ137,0)</f>
        <v>0</v>
      </c>
      <c r="AI137" s="67" t="s">
        <v>171</v>
      </c>
      <c r="AJ137" s="70">
        <f>IF(AN137=0,K137,0)</f>
        <v>0</v>
      </c>
      <c r="AK137" s="70">
        <f>IF(AN137=15,K137,0)</f>
        <v>0</v>
      </c>
      <c r="AL137" s="70">
        <f>IF(AN137=21,K137,0)</f>
        <v>0</v>
      </c>
      <c r="AN137" s="70">
        <v>21</v>
      </c>
      <c r="AO137" s="70">
        <f>H137*0</f>
        <v>0</v>
      </c>
      <c r="AP137" s="70">
        <f>H137*(1-0)</f>
        <v>0</v>
      </c>
      <c r="AQ137" s="71" t="s">
        <v>124</v>
      </c>
      <c r="AV137" s="70">
        <f>AW137+AX137</f>
        <v>0</v>
      </c>
      <c r="AW137" s="70">
        <f>G137*AO137</f>
        <v>0</v>
      </c>
      <c r="AX137" s="70">
        <f>G137*AP137</f>
        <v>0</v>
      </c>
      <c r="AY137" s="71" t="s">
        <v>350</v>
      </c>
      <c r="AZ137" s="71" t="s">
        <v>186</v>
      </c>
      <c r="BA137" s="67" t="s">
        <v>176</v>
      </c>
      <c r="BC137" s="70">
        <f>AW137+AX137</f>
        <v>0</v>
      </c>
      <c r="BD137" s="70">
        <f>H137/(100-BE137)*100</f>
        <v>0</v>
      </c>
      <c r="BE137" s="70">
        <v>0</v>
      </c>
      <c r="BF137" s="70">
        <f>137</f>
        <v>137</v>
      </c>
      <c r="BH137" s="70">
        <f>G137*AO137</f>
        <v>0</v>
      </c>
      <c r="BI137" s="70">
        <f>G137*AP137</f>
        <v>0</v>
      </c>
      <c r="BJ137" s="70">
        <f>G137*H137</f>
        <v>0</v>
      </c>
    </row>
    <row r="138" spans="1:47" ht="15">
      <c r="A138" s="88"/>
      <c r="B138" s="591"/>
      <c r="C138" s="710" t="s">
        <v>52</v>
      </c>
      <c r="D138" s="711"/>
      <c r="E138" s="711"/>
      <c r="F138" s="88" t="s">
        <v>70</v>
      </c>
      <c r="G138" s="88" t="s">
        <v>70</v>
      </c>
      <c r="H138" s="624" t="s">
        <v>70</v>
      </c>
      <c r="I138" s="90">
        <f>SUM(I139:I148)</f>
        <v>0</v>
      </c>
      <c r="J138" s="90">
        <f>SUM(J139:J148)</f>
        <v>0</v>
      </c>
      <c r="K138" s="90">
        <f>SUM(K139:K148)</f>
        <v>0</v>
      </c>
      <c r="L138" s="91"/>
      <c r="AI138" s="67" t="s">
        <v>171</v>
      </c>
      <c r="AS138" s="68">
        <f>SUM(AJ139:AJ148)</f>
        <v>0</v>
      </c>
      <c r="AT138" s="68">
        <f>SUM(AK139:AK148)</f>
        <v>0</v>
      </c>
      <c r="AU138" s="68">
        <f>SUM(AL139:AL148)</f>
        <v>0</v>
      </c>
    </row>
    <row r="139" spans="1:62" ht="15">
      <c r="A139" s="589" t="s">
        <v>381</v>
      </c>
      <c r="B139" s="589" t="s">
        <v>1011</v>
      </c>
      <c r="C139" s="696" t="s">
        <v>1110</v>
      </c>
      <c r="D139" s="693"/>
      <c r="E139" s="693"/>
      <c r="F139" s="589" t="s">
        <v>253</v>
      </c>
      <c r="G139" s="70">
        <v>22</v>
      </c>
      <c r="H139" s="580">
        <v>0</v>
      </c>
      <c r="I139" s="70">
        <f>G139*AO139</f>
        <v>0</v>
      </c>
      <c r="J139" s="70">
        <f>G139*AP139</f>
        <v>0</v>
      </c>
      <c r="K139" s="70">
        <f>G139*H139</f>
        <v>0</v>
      </c>
      <c r="L139" s="71" t="s">
        <v>120</v>
      </c>
      <c r="Z139" s="70">
        <f>IF(AQ139="5",BJ139,0)</f>
        <v>0</v>
      </c>
      <c r="AB139" s="70">
        <f>IF(AQ139="1",BH139,0)</f>
        <v>0</v>
      </c>
      <c r="AC139" s="70">
        <f>IF(AQ139="1",BI139,0)</f>
        <v>0</v>
      </c>
      <c r="AD139" s="70">
        <f>IF(AQ139="7",BH139,0)</f>
        <v>0</v>
      </c>
      <c r="AE139" s="70">
        <f>IF(AQ139="7",BI139,0)</f>
        <v>0</v>
      </c>
      <c r="AF139" s="70">
        <f>IF(AQ139="2",BH139,0)</f>
        <v>0</v>
      </c>
      <c r="AG139" s="70">
        <f>IF(AQ139="2",BI139,0)</f>
        <v>0</v>
      </c>
      <c r="AH139" s="70">
        <f>IF(AQ139="0",BJ139,0)</f>
        <v>0</v>
      </c>
      <c r="AI139" s="67" t="s">
        <v>171</v>
      </c>
      <c r="AJ139" s="70">
        <f>IF(AN139=0,K139,0)</f>
        <v>0</v>
      </c>
      <c r="AK139" s="70">
        <f>IF(AN139=15,K139,0)</f>
        <v>0</v>
      </c>
      <c r="AL139" s="70">
        <f>IF(AN139=21,K139,0)</f>
        <v>0</v>
      </c>
      <c r="AN139" s="70">
        <v>21</v>
      </c>
      <c r="AO139" s="70">
        <f>H139*1</f>
        <v>0</v>
      </c>
      <c r="AP139" s="70">
        <f>H139*(1-1)</f>
        <v>0</v>
      </c>
      <c r="AQ139" s="71" t="s">
        <v>355</v>
      </c>
      <c r="AV139" s="70">
        <f>AW139+AX139</f>
        <v>0</v>
      </c>
      <c r="AW139" s="70">
        <f>G139*AO139</f>
        <v>0</v>
      </c>
      <c r="AX139" s="70">
        <f>G139*AP139</f>
        <v>0</v>
      </c>
      <c r="AY139" s="71" t="s">
        <v>356</v>
      </c>
      <c r="AZ139" s="71" t="s">
        <v>1111</v>
      </c>
      <c r="BA139" s="67" t="s">
        <v>176</v>
      </c>
      <c r="BC139" s="70">
        <f>AW139+AX139</f>
        <v>0</v>
      </c>
      <c r="BD139" s="70">
        <f>H139/(100-BE139)*100</f>
        <v>0</v>
      </c>
      <c r="BE139" s="70">
        <v>0</v>
      </c>
      <c r="BF139" s="70">
        <f>139</f>
        <v>139</v>
      </c>
      <c r="BH139" s="70">
        <f>G139*AO139</f>
        <v>0</v>
      </c>
      <c r="BI139" s="70">
        <f>G139*AP139</f>
        <v>0</v>
      </c>
      <c r="BJ139" s="70">
        <f>G139*H139</f>
        <v>0</v>
      </c>
    </row>
    <row r="140" spans="2:12" ht="12.75" customHeight="1">
      <c r="B140" s="75" t="s">
        <v>67</v>
      </c>
      <c r="C140" s="725" t="s">
        <v>1112</v>
      </c>
      <c r="D140" s="726"/>
      <c r="E140" s="726"/>
      <c r="F140" s="726"/>
      <c r="G140" s="726"/>
      <c r="H140" s="726"/>
      <c r="I140" s="726"/>
      <c r="J140" s="726"/>
      <c r="K140" s="726"/>
      <c r="L140" s="726"/>
    </row>
    <row r="141" spans="1:62" ht="15">
      <c r="A141" s="589" t="s">
        <v>384</v>
      </c>
      <c r="B141" s="589" t="s">
        <v>1009</v>
      </c>
      <c r="C141" s="696" t="s">
        <v>1113</v>
      </c>
      <c r="D141" s="693"/>
      <c r="E141" s="693"/>
      <c r="F141" s="589" t="s">
        <v>306</v>
      </c>
      <c r="G141" s="70">
        <v>24</v>
      </c>
      <c r="H141" s="580">
        <v>0</v>
      </c>
      <c r="I141" s="70">
        <f aca="true" t="shared" si="70" ref="I141:I148">G141*AO141</f>
        <v>0</v>
      </c>
      <c r="J141" s="70">
        <f aca="true" t="shared" si="71" ref="J141:J148">G141*AP141</f>
        <v>0</v>
      </c>
      <c r="K141" s="70">
        <f aca="true" t="shared" si="72" ref="K141:K148">G141*H141</f>
        <v>0</v>
      </c>
      <c r="L141" s="71"/>
      <c r="Z141" s="70">
        <f aca="true" t="shared" si="73" ref="Z141:Z148">IF(AQ141="5",BJ141,0)</f>
        <v>0</v>
      </c>
      <c r="AB141" s="70">
        <f aca="true" t="shared" si="74" ref="AB141:AB148">IF(AQ141="1",BH141,0)</f>
        <v>0</v>
      </c>
      <c r="AC141" s="70">
        <f aca="true" t="shared" si="75" ref="AC141:AC148">IF(AQ141="1",BI141,0)</f>
        <v>0</v>
      </c>
      <c r="AD141" s="70">
        <f aca="true" t="shared" si="76" ref="AD141:AD148">IF(AQ141="7",BH141,0)</f>
        <v>0</v>
      </c>
      <c r="AE141" s="70">
        <f aca="true" t="shared" si="77" ref="AE141:AE148">IF(AQ141="7",BI141,0)</f>
        <v>0</v>
      </c>
      <c r="AF141" s="70">
        <f aca="true" t="shared" si="78" ref="AF141:AF148">IF(AQ141="2",BH141,0)</f>
        <v>0</v>
      </c>
      <c r="AG141" s="70">
        <f aca="true" t="shared" si="79" ref="AG141:AG148">IF(AQ141="2",BI141,0)</f>
        <v>0</v>
      </c>
      <c r="AH141" s="70">
        <f aca="true" t="shared" si="80" ref="AH141:AH148">IF(AQ141="0",BJ141,0)</f>
        <v>0</v>
      </c>
      <c r="AI141" s="67" t="s">
        <v>171</v>
      </c>
      <c r="AJ141" s="70">
        <f aca="true" t="shared" si="81" ref="AJ141:AJ148">IF(AN141=0,K141,0)</f>
        <v>0</v>
      </c>
      <c r="AK141" s="70">
        <f aca="true" t="shared" si="82" ref="AK141:AK148">IF(AN141=15,K141,0)</f>
        <v>0</v>
      </c>
      <c r="AL141" s="70">
        <f aca="true" t="shared" si="83" ref="AL141:AL148">IF(AN141=21,K141,0)</f>
        <v>0</v>
      </c>
      <c r="AN141" s="70">
        <v>21</v>
      </c>
      <c r="AO141" s="70">
        <f aca="true" t="shared" si="84" ref="AO141:AO148">H141*1</f>
        <v>0</v>
      </c>
      <c r="AP141" s="70">
        <f aca="true" t="shared" si="85" ref="AP141:AP148">H141*(1-1)</f>
        <v>0</v>
      </c>
      <c r="AQ141" s="71" t="s">
        <v>355</v>
      </c>
      <c r="AV141" s="70">
        <f aca="true" t="shared" si="86" ref="AV141:AV148">AW141+AX141</f>
        <v>0</v>
      </c>
      <c r="AW141" s="70">
        <f aca="true" t="shared" si="87" ref="AW141:AW148">G141*AO141</f>
        <v>0</v>
      </c>
      <c r="AX141" s="70">
        <f aca="true" t="shared" si="88" ref="AX141:AX148">G141*AP141</f>
        <v>0</v>
      </c>
      <c r="AY141" s="71" t="s">
        <v>356</v>
      </c>
      <c r="AZ141" s="71" t="s">
        <v>1111</v>
      </c>
      <c r="BA141" s="67" t="s">
        <v>176</v>
      </c>
      <c r="BC141" s="70">
        <f aca="true" t="shared" si="89" ref="BC141:BC148">AW141+AX141</f>
        <v>0</v>
      </c>
      <c r="BD141" s="70">
        <f aca="true" t="shared" si="90" ref="BD141:BD148">H141/(100-BE141)*100</f>
        <v>0</v>
      </c>
      <c r="BE141" s="70">
        <v>0</v>
      </c>
      <c r="BF141" s="70">
        <f>141</f>
        <v>141</v>
      </c>
      <c r="BH141" s="70">
        <f aca="true" t="shared" si="91" ref="BH141:BH148">G141*AO141</f>
        <v>0</v>
      </c>
      <c r="BI141" s="70">
        <f aca="true" t="shared" si="92" ref="BI141:BI148">G141*AP141</f>
        <v>0</v>
      </c>
      <c r="BJ141" s="70">
        <f aca="true" t="shared" si="93" ref="BJ141:BJ148">G141*H141</f>
        <v>0</v>
      </c>
    </row>
    <row r="142" spans="1:62" ht="15">
      <c r="A142" s="589" t="s">
        <v>386</v>
      </c>
      <c r="B142" s="589" t="s">
        <v>1009</v>
      </c>
      <c r="C142" s="696" t="s">
        <v>1114</v>
      </c>
      <c r="D142" s="693"/>
      <c r="E142" s="693"/>
      <c r="F142" s="589" t="s">
        <v>306</v>
      </c>
      <c r="G142" s="70">
        <v>1497</v>
      </c>
      <c r="H142" s="580">
        <v>0</v>
      </c>
      <c r="I142" s="70">
        <f t="shared" si="70"/>
        <v>0</v>
      </c>
      <c r="J142" s="70">
        <f t="shared" si="71"/>
        <v>0</v>
      </c>
      <c r="K142" s="70">
        <f t="shared" si="72"/>
        <v>0</v>
      </c>
      <c r="L142" s="71"/>
      <c r="Z142" s="70">
        <f t="shared" si="73"/>
        <v>0</v>
      </c>
      <c r="AB142" s="70">
        <f t="shared" si="74"/>
        <v>0</v>
      </c>
      <c r="AC142" s="70">
        <f t="shared" si="75"/>
        <v>0</v>
      </c>
      <c r="AD142" s="70">
        <f t="shared" si="76"/>
        <v>0</v>
      </c>
      <c r="AE142" s="70">
        <f t="shared" si="77"/>
        <v>0</v>
      </c>
      <c r="AF142" s="70">
        <f t="shared" si="78"/>
        <v>0</v>
      </c>
      <c r="AG142" s="70">
        <f t="shared" si="79"/>
        <v>0</v>
      </c>
      <c r="AH142" s="70">
        <f t="shared" si="80"/>
        <v>0</v>
      </c>
      <c r="AI142" s="67" t="s">
        <v>171</v>
      </c>
      <c r="AJ142" s="70">
        <f t="shared" si="81"/>
        <v>0</v>
      </c>
      <c r="AK142" s="70">
        <f t="shared" si="82"/>
        <v>0</v>
      </c>
      <c r="AL142" s="70">
        <f t="shared" si="83"/>
        <v>0</v>
      </c>
      <c r="AN142" s="70">
        <v>21</v>
      </c>
      <c r="AO142" s="70">
        <f t="shared" si="84"/>
        <v>0</v>
      </c>
      <c r="AP142" s="70">
        <f t="shared" si="85"/>
        <v>0</v>
      </c>
      <c r="AQ142" s="71" t="s">
        <v>355</v>
      </c>
      <c r="AV142" s="70">
        <f t="shared" si="86"/>
        <v>0</v>
      </c>
      <c r="AW142" s="70">
        <f t="shared" si="87"/>
        <v>0</v>
      </c>
      <c r="AX142" s="70">
        <f t="shared" si="88"/>
        <v>0</v>
      </c>
      <c r="AY142" s="71" t="s">
        <v>356</v>
      </c>
      <c r="AZ142" s="71" t="s">
        <v>1111</v>
      </c>
      <c r="BA142" s="67" t="s">
        <v>176</v>
      </c>
      <c r="BC142" s="70">
        <f t="shared" si="89"/>
        <v>0</v>
      </c>
      <c r="BD142" s="70">
        <f t="shared" si="90"/>
        <v>0</v>
      </c>
      <c r="BE142" s="70">
        <v>0</v>
      </c>
      <c r="BF142" s="70">
        <f>142</f>
        <v>142</v>
      </c>
      <c r="BH142" s="70">
        <f t="shared" si="91"/>
        <v>0</v>
      </c>
      <c r="BI142" s="70">
        <f t="shared" si="92"/>
        <v>0</v>
      </c>
      <c r="BJ142" s="70">
        <f t="shared" si="93"/>
        <v>0</v>
      </c>
    </row>
    <row r="143" spans="1:62" ht="15">
      <c r="A143" s="589" t="s">
        <v>389</v>
      </c>
      <c r="B143" s="589" t="s">
        <v>1009</v>
      </c>
      <c r="C143" s="696" t="s">
        <v>1115</v>
      </c>
      <c r="D143" s="693"/>
      <c r="E143" s="693"/>
      <c r="F143" s="589" t="s">
        <v>306</v>
      </c>
      <c r="G143" s="70">
        <v>1000</v>
      </c>
      <c r="H143" s="580">
        <v>0</v>
      </c>
      <c r="I143" s="70">
        <f t="shared" si="70"/>
        <v>0</v>
      </c>
      <c r="J143" s="70">
        <f t="shared" si="71"/>
        <v>0</v>
      </c>
      <c r="K143" s="70">
        <f t="shared" si="72"/>
        <v>0</v>
      </c>
      <c r="L143" s="71"/>
      <c r="Z143" s="70">
        <f t="shared" si="73"/>
        <v>0</v>
      </c>
      <c r="AB143" s="70">
        <f t="shared" si="74"/>
        <v>0</v>
      </c>
      <c r="AC143" s="70">
        <f t="shared" si="75"/>
        <v>0</v>
      </c>
      <c r="AD143" s="70">
        <f t="shared" si="76"/>
        <v>0</v>
      </c>
      <c r="AE143" s="70">
        <f t="shared" si="77"/>
        <v>0</v>
      </c>
      <c r="AF143" s="70">
        <f t="shared" si="78"/>
        <v>0</v>
      </c>
      <c r="AG143" s="70">
        <f t="shared" si="79"/>
        <v>0</v>
      </c>
      <c r="AH143" s="70">
        <f t="shared" si="80"/>
        <v>0</v>
      </c>
      <c r="AI143" s="67" t="s">
        <v>171</v>
      </c>
      <c r="AJ143" s="70">
        <f t="shared" si="81"/>
        <v>0</v>
      </c>
      <c r="AK143" s="70">
        <f t="shared" si="82"/>
        <v>0</v>
      </c>
      <c r="AL143" s="70">
        <f t="shared" si="83"/>
        <v>0</v>
      </c>
      <c r="AN143" s="70">
        <v>21</v>
      </c>
      <c r="AO143" s="70">
        <f t="shared" si="84"/>
        <v>0</v>
      </c>
      <c r="AP143" s="70">
        <f t="shared" si="85"/>
        <v>0</v>
      </c>
      <c r="AQ143" s="71" t="s">
        <v>355</v>
      </c>
      <c r="AV143" s="70">
        <f t="shared" si="86"/>
        <v>0</v>
      </c>
      <c r="AW143" s="70">
        <f t="shared" si="87"/>
        <v>0</v>
      </c>
      <c r="AX143" s="70">
        <f t="shared" si="88"/>
        <v>0</v>
      </c>
      <c r="AY143" s="71" t="s">
        <v>356</v>
      </c>
      <c r="AZ143" s="71" t="s">
        <v>1111</v>
      </c>
      <c r="BA143" s="67" t="s">
        <v>176</v>
      </c>
      <c r="BC143" s="70">
        <f t="shared" si="89"/>
        <v>0</v>
      </c>
      <c r="BD143" s="70">
        <f t="shared" si="90"/>
        <v>0</v>
      </c>
      <c r="BE143" s="70">
        <v>0</v>
      </c>
      <c r="BF143" s="70">
        <f>143</f>
        <v>143</v>
      </c>
      <c r="BH143" s="70">
        <f t="shared" si="91"/>
        <v>0</v>
      </c>
      <c r="BI143" s="70">
        <f t="shared" si="92"/>
        <v>0</v>
      </c>
      <c r="BJ143" s="70">
        <f t="shared" si="93"/>
        <v>0</v>
      </c>
    </row>
    <row r="144" spans="1:62" ht="15">
      <c r="A144" s="589" t="s">
        <v>392</v>
      </c>
      <c r="B144" s="589" t="s">
        <v>1069</v>
      </c>
      <c r="C144" s="696" t="s">
        <v>1070</v>
      </c>
      <c r="D144" s="693"/>
      <c r="E144" s="693"/>
      <c r="F144" s="589" t="s">
        <v>1071</v>
      </c>
      <c r="G144" s="70">
        <v>0.3</v>
      </c>
      <c r="H144" s="580">
        <v>0</v>
      </c>
      <c r="I144" s="70">
        <f t="shared" si="70"/>
        <v>0</v>
      </c>
      <c r="J144" s="70">
        <f t="shared" si="71"/>
        <v>0</v>
      </c>
      <c r="K144" s="70">
        <f t="shared" si="72"/>
        <v>0</v>
      </c>
      <c r="L144" s="71"/>
      <c r="Z144" s="70">
        <f t="shared" si="73"/>
        <v>0</v>
      </c>
      <c r="AB144" s="70">
        <f t="shared" si="74"/>
        <v>0</v>
      </c>
      <c r="AC144" s="70">
        <f t="shared" si="75"/>
        <v>0</v>
      </c>
      <c r="AD144" s="70">
        <f t="shared" si="76"/>
        <v>0</v>
      </c>
      <c r="AE144" s="70">
        <f t="shared" si="77"/>
        <v>0</v>
      </c>
      <c r="AF144" s="70">
        <f t="shared" si="78"/>
        <v>0</v>
      </c>
      <c r="AG144" s="70">
        <f t="shared" si="79"/>
        <v>0</v>
      </c>
      <c r="AH144" s="70">
        <f t="shared" si="80"/>
        <v>0</v>
      </c>
      <c r="AI144" s="67" t="s">
        <v>171</v>
      </c>
      <c r="AJ144" s="70">
        <f t="shared" si="81"/>
        <v>0</v>
      </c>
      <c r="AK144" s="70">
        <f t="shared" si="82"/>
        <v>0</v>
      </c>
      <c r="AL144" s="70">
        <f t="shared" si="83"/>
        <v>0</v>
      </c>
      <c r="AN144" s="70">
        <v>21</v>
      </c>
      <c r="AO144" s="70">
        <f t="shared" si="84"/>
        <v>0</v>
      </c>
      <c r="AP144" s="70">
        <f t="shared" si="85"/>
        <v>0</v>
      </c>
      <c r="AQ144" s="71" t="s">
        <v>355</v>
      </c>
      <c r="AV144" s="70">
        <f t="shared" si="86"/>
        <v>0</v>
      </c>
      <c r="AW144" s="70">
        <f t="shared" si="87"/>
        <v>0</v>
      </c>
      <c r="AX144" s="70">
        <f t="shared" si="88"/>
        <v>0</v>
      </c>
      <c r="AY144" s="71" t="s">
        <v>356</v>
      </c>
      <c r="AZ144" s="71" t="s">
        <v>1111</v>
      </c>
      <c r="BA144" s="67" t="s">
        <v>176</v>
      </c>
      <c r="BC144" s="70">
        <f t="shared" si="89"/>
        <v>0</v>
      </c>
      <c r="BD144" s="70">
        <f t="shared" si="90"/>
        <v>0</v>
      </c>
      <c r="BE144" s="70">
        <v>0</v>
      </c>
      <c r="BF144" s="70">
        <f>144</f>
        <v>144</v>
      </c>
      <c r="BH144" s="70">
        <f t="shared" si="91"/>
        <v>0</v>
      </c>
      <c r="BI144" s="70">
        <f t="shared" si="92"/>
        <v>0</v>
      </c>
      <c r="BJ144" s="70">
        <f t="shared" si="93"/>
        <v>0</v>
      </c>
    </row>
    <row r="145" spans="1:62" ht="15">
      <c r="A145" s="589" t="s">
        <v>395</v>
      </c>
      <c r="B145" s="589" t="s">
        <v>1116</v>
      </c>
      <c r="C145" s="696" t="s">
        <v>1117</v>
      </c>
      <c r="D145" s="693"/>
      <c r="E145" s="693"/>
      <c r="F145" s="589" t="s">
        <v>209</v>
      </c>
      <c r="G145" s="70">
        <v>109</v>
      </c>
      <c r="H145" s="580">
        <v>0</v>
      </c>
      <c r="I145" s="70">
        <f t="shared" si="70"/>
        <v>0</v>
      </c>
      <c r="J145" s="70">
        <f t="shared" si="71"/>
        <v>0</v>
      </c>
      <c r="K145" s="70">
        <f t="shared" si="72"/>
        <v>0</v>
      </c>
      <c r="L145" s="71"/>
      <c r="Z145" s="70">
        <f t="shared" si="73"/>
        <v>0</v>
      </c>
      <c r="AB145" s="70">
        <f t="shared" si="74"/>
        <v>0</v>
      </c>
      <c r="AC145" s="70">
        <f t="shared" si="75"/>
        <v>0</v>
      </c>
      <c r="AD145" s="70">
        <f t="shared" si="76"/>
        <v>0</v>
      </c>
      <c r="AE145" s="70">
        <f t="shared" si="77"/>
        <v>0</v>
      </c>
      <c r="AF145" s="70">
        <f t="shared" si="78"/>
        <v>0</v>
      </c>
      <c r="AG145" s="70">
        <f t="shared" si="79"/>
        <v>0</v>
      </c>
      <c r="AH145" s="70">
        <f t="shared" si="80"/>
        <v>0</v>
      </c>
      <c r="AI145" s="67" t="s">
        <v>171</v>
      </c>
      <c r="AJ145" s="70">
        <f t="shared" si="81"/>
        <v>0</v>
      </c>
      <c r="AK145" s="70">
        <f t="shared" si="82"/>
        <v>0</v>
      </c>
      <c r="AL145" s="70">
        <f t="shared" si="83"/>
        <v>0</v>
      </c>
      <c r="AN145" s="70">
        <v>21</v>
      </c>
      <c r="AO145" s="70">
        <f t="shared" si="84"/>
        <v>0</v>
      </c>
      <c r="AP145" s="70">
        <f t="shared" si="85"/>
        <v>0</v>
      </c>
      <c r="AQ145" s="71" t="s">
        <v>355</v>
      </c>
      <c r="AV145" s="70">
        <f t="shared" si="86"/>
        <v>0</v>
      </c>
      <c r="AW145" s="70">
        <f t="shared" si="87"/>
        <v>0</v>
      </c>
      <c r="AX145" s="70">
        <f t="shared" si="88"/>
        <v>0</v>
      </c>
      <c r="AY145" s="71" t="s">
        <v>356</v>
      </c>
      <c r="AZ145" s="71" t="s">
        <v>1111</v>
      </c>
      <c r="BA145" s="67" t="s">
        <v>176</v>
      </c>
      <c r="BC145" s="70">
        <f t="shared" si="89"/>
        <v>0</v>
      </c>
      <c r="BD145" s="70">
        <f t="shared" si="90"/>
        <v>0</v>
      </c>
      <c r="BE145" s="70">
        <v>0</v>
      </c>
      <c r="BF145" s="70">
        <f>145</f>
        <v>145</v>
      </c>
      <c r="BH145" s="70">
        <f t="shared" si="91"/>
        <v>0</v>
      </c>
      <c r="BI145" s="70">
        <f t="shared" si="92"/>
        <v>0</v>
      </c>
      <c r="BJ145" s="70">
        <f t="shared" si="93"/>
        <v>0</v>
      </c>
    </row>
    <row r="146" spans="1:62" ht="15">
      <c r="A146" s="589" t="s">
        <v>399</v>
      </c>
      <c r="B146" s="589" t="s">
        <v>1118</v>
      </c>
      <c r="C146" s="696" t="s">
        <v>1119</v>
      </c>
      <c r="D146" s="693"/>
      <c r="E146" s="693"/>
      <c r="F146" s="589" t="s">
        <v>306</v>
      </c>
      <c r="G146" s="70">
        <v>238</v>
      </c>
      <c r="H146" s="580">
        <v>0</v>
      </c>
      <c r="I146" s="70">
        <f t="shared" si="70"/>
        <v>0</v>
      </c>
      <c r="J146" s="70">
        <f t="shared" si="71"/>
        <v>0</v>
      </c>
      <c r="K146" s="70">
        <f t="shared" si="72"/>
        <v>0</v>
      </c>
      <c r="L146" s="71"/>
      <c r="Z146" s="70">
        <f t="shared" si="73"/>
        <v>0</v>
      </c>
      <c r="AB146" s="70">
        <f t="shared" si="74"/>
        <v>0</v>
      </c>
      <c r="AC146" s="70">
        <f t="shared" si="75"/>
        <v>0</v>
      </c>
      <c r="AD146" s="70">
        <f t="shared" si="76"/>
        <v>0</v>
      </c>
      <c r="AE146" s="70">
        <f t="shared" si="77"/>
        <v>0</v>
      </c>
      <c r="AF146" s="70">
        <f t="shared" si="78"/>
        <v>0</v>
      </c>
      <c r="AG146" s="70">
        <f t="shared" si="79"/>
        <v>0</v>
      </c>
      <c r="AH146" s="70">
        <f t="shared" si="80"/>
        <v>0</v>
      </c>
      <c r="AI146" s="67" t="s">
        <v>171</v>
      </c>
      <c r="AJ146" s="70">
        <f t="shared" si="81"/>
        <v>0</v>
      </c>
      <c r="AK146" s="70">
        <f t="shared" si="82"/>
        <v>0</v>
      </c>
      <c r="AL146" s="70">
        <f t="shared" si="83"/>
        <v>0</v>
      </c>
      <c r="AN146" s="70">
        <v>21</v>
      </c>
      <c r="AO146" s="70">
        <f t="shared" si="84"/>
        <v>0</v>
      </c>
      <c r="AP146" s="70">
        <f t="shared" si="85"/>
        <v>0</v>
      </c>
      <c r="AQ146" s="71" t="s">
        <v>355</v>
      </c>
      <c r="AV146" s="70">
        <f t="shared" si="86"/>
        <v>0</v>
      </c>
      <c r="AW146" s="70">
        <f t="shared" si="87"/>
        <v>0</v>
      </c>
      <c r="AX146" s="70">
        <f t="shared" si="88"/>
        <v>0</v>
      </c>
      <c r="AY146" s="71" t="s">
        <v>356</v>
      </c>
      <c r="AZ146" s="71" t="s">
        <v>1111</v>
      </c>
      <c r="BA146" s="67" t="s">
        <v>176</v>
      </c>
      <c r="BC146" s="70">
        <f t="shared" si="89"/>
        <v>0</v>
      </c>
      <c r="BD146" s="70">
        <f t="shared" si="90"/>
        <v>0</v>
      </c>
      <c r="BE146" s="70">
        <v>0</v>
      </c>
      <c r="BF146" s="70">
        <f>146</f>
        <v>146</v>
      </c>
      <c r="BH146" s="70">
        <f t="shared" si="91"/>
        <v>0</v>
      </c>
      <c r="BI146" s="70">
        <f t="shared" si="92"/>
        <v>0</v>
      </c>
      <c r="BJ146" s="70">
        <f t="shared" si="93"/>
        <v>0</v>
      </c>
    </row>
    <row r="147" spans="1:62" ht="15">
      <c r="A147" s="589" t="s">
        <v>401</v>
      </c>
      <c r="B147" s="589" t="s">
        <v>1014</v>
      </c>
      <c r="C147" s="696" t="s">
        <v>1120</v>
      </c>
      <c r="D147" s="693"/>
      <c r="E147" s="693"/>
      <c r="F147" s="589" t="s">
        <v>253</v>
      </c>
      <c r="G147" s="70">
        <v>17</v>
      </c>
      <c r="H147" s="580">
        <v>0</v>
      </c>
      <c r="I147" s="70">
        <f t="shared" si="70"/>
        <v>0</v>
      </c>
      <c r="J147" s="70">
        <f t="shared" si="71"/>
        <v>0</v>
      </c>
      <c r="K147" s="70">
        <f t="shared" si="72"/>
        <v>0</v>
      </c>
      <c r="L147" s="71" t="s">
        <v>120</v>
      </c>
      <c r="Z147" s="70">
        <f t="shared" si="73"/>
        <v>0</v>
      </c>
      <c r="AB147" s="70">
        <f t="shared" si="74"/>
        <v>0</v>
      </c>
      <c r="AC147" s="70">
        <f t="shared" si="75"/>
        <v>0</v>
      </c>
      <c r="AD147" s="70">
        <f t="shared" si="76"/>
        <v>0</v>
      </c>
      <c r="AE147" s="70">
        <f t="shared" si="77"/>
        <v>0</v>
      </c>
      <c r="AF147" s="70">
        <f t="shared" si="78"/>
        <v>0</v>
      </c>
      <c r="AG147" s="70">
        <f t="shared" si="79"/>
        <v>0</v>
      </c>
      <c r="AH147" s="70">
        <f t="shared" si="80"/>
        <v>0</v>
      </c>
      <c r="AI147" s="67" t="s">
        <v>171</v>
      </c>
      <c r="AJ147" s="70">
        <f t="shared" si="81"/>
        <v>0</v>
      </c>
      <c r="AK147" s="70">
        <f t="shared" si="82"/>
        <v>0</v>
      </c>
      <c r="AL147" s="70">
        <f t="shared" si="83"/>
        <v>0</v>
      </c>
      <c r="AN147" s="70">
        <v>21</v>
      </c>
      <c r="AO147" s="70">
        <f t="shared" si="84"/>
        <v>0</v>
      </c>
      <c r="AP147" s="70">
        <f t="shared" si="85"/>
        <v>0</v>
      </c>
      <c r="AQ147" s="71" t="s">
        <v>355</v>
      </c>
      <c r="AV147" s="70">
        <f t="shared" si="86"/>
        <v>0</v>
      </c>
      <c r="AW147" s="70">
        <f t="shared" si="87"/>
        <v>0</v>
      </c>
      <c r="AX147" s="70">
        <f t="shared" si="88"/>
        <v>0</v>
      </c>
      <c r="AY147" s="71" t="s">
        <v>356</v>
      </c>
      <c r="AZ147" s="71" t="s">
        <v>1111</v>
      </c>
      <c r="BA147" s="67" t="s">
        <v>176</v>
      </c>
      <c r="BC147" s="70">
        <f t="shared" si="89"/>
        <v>0</v>
      </c>
      <c r="BD147" s="70">
        <f t="shared" si="90"/>
        <v>0</v>
      </c>
      <c r="BE147" s="70">
        <v>0</v>
      </c>
      <c r="BF147" s="70">
        <f>147</f>
        <v>147</v>
      </c>
      <c r="BH147" s="70">
        <f t="shared" si="91"/>
        <v>0</v>
      </c>
      <c r="BI147" s="70">
        <f t="shared" si="92"/>
        <v>0</v>
      </c>
      <c r="BJ147" s="70">
        <f t="shared" si="93"/>
        <v>0</v>
      </c>
    </row>
    <row r="148" spans="1:62" ht="15">
      <c r="A148" s="589" t="s">
        <v>404</v>
      </c>
      <c r="B148" s="589" t="s">
        <v>1073</v>
      </c>
      <c r="C148" s="696" t="s">
        <v>1121</v>
      </c>
      <c r="D148" s="693"/>
      <c r="E148" s="693"/>
      <c r="F148" s="589" t="s">
        <v>253</v>
      </c>
      <c r="G148" s="70">
        <v>20.2</v>
      </c>
      <c r="H148" s="580">
        <v>0</v>
      </c>
      <c r="I148" s="70">
        <f t="shared" si="70"/>
        <v>0</v>
      </c>
      <c r="J148" s="70">
        <f t="shared" si="71"/>
        <v>0</v>
      </c>
      <c r="K148" s="70">
        <f t="shared" si="72"/>
        <v>0</v>
      </c>
      <c r="L148" s="71" t="s">
        <v>120</v>
      </c>
      <c r="Z148" s="70">
        <f t="shared" si="73"/>
        <v>0</v>
      </c>
      <c r="AB148" s="70">
        <f t="shared" si="74"/>
        <v>0</v>
      </c>
      <c r="AC148" s="70">
        <f t="shared" si="75"/>
        <v>0</v>
      </c>
      <c r="AD148" s="70">
        <f t="shared" si="76"/>
        <v>0</v>
      </c>
      <c r="AE148" s="70">
        <f t="shared" si="77"/>
        <v>0</v>
      </c>
      <c r="AF148" s="70">
        <f t="shared" si="78"/>
        <v>0</v>
      </c>
      <c r="AG148" s="70">
        <f t="shared" si="79"/>
        <v>0</v>
      </c>
      <c r="AH148" s="70">
        <f t="shared" si="80"/>
        <v>0</v>
      </c>
      <c r="AI148" s="67" t="s">
        <v>171</v>
      </c>
      <c r="AJ148" s="70">
        <f t="shared" si="81"/>
        <v>0</v>
      </c>
      <c r="AK148" s="70">
        <f t="shared" si="82"/>
        <v>0</v>
      </c>
      <c r="AL148" s="70">
        <f t="shared" si="83"/>
        <v>0</v>
      </c>
      <c r="AN148" s="70">
        <v>21</v>
      </c>
      <c r="AO148" s="70">
        <f t="shared" si="84"/>
        <v>0</v>
      </c>
      <c r="AP148" s="70">
        <f t="shared" si="85"/>
        <v>0</v>
      </c>
      <c r="AQ148" s="71" t="s">
        <v>355</v>
      </c>
      <c r="AV148" s="70">
        <f t="shared" si="86"/>
        <v>0</v>
      </c>
      <c r="AW148" s="70">
        <f t="shared" si="87"/>
        <v>0</v>
      </c>
      <c r="AX148" s="70">
        <f t="shared" si="88"/>
        <v>0</v>
      </c>
      <c r="AY148" s="71" t="s">
        <v>356</v>
      </c>
      <c r="AZ148" s="71" t="s">
        <v>1111</v>
      </c>
      <c r="BA148" s="67" t="s">
        <v>176</v>
      </c>
      <c r="BC148" s="70">
        <f t="shared" si="89"/>
        <v>0</v>
      </c>
      <c r="BD148" s="70">
        <f t="shared" si="90"/>
        <v>0</v>
      </c>
      <c r="BE148" s="70">
        <v>0</v>
      </c>
      <c r="BF148" s="70">
        <f>148</f>
        <v>148</v>
      </c>
      <c r="BH148" s="70">
        <f t="shared" si="91"/>
        <v>0</v>
      </c>
      <c r="BI148" s="70">
        <f t="shared" si="92"/>
        <v>0</v>
      </c>
      <c r="BJ148" s="70">
        <f t="shared" si="93"/>
        <v>0</v>
      </c>
    </row>
    <row r="149" spans="1:12" ht="15">
      <c r="A149" s="48"/>
      <c r="B149" s="590"/>
      <c r="C149" s="727" t="s">
        <v>1122</v>
      </c>
      <c r="D149" s="728"/>
      <c r="E149" s="728"/>
      <c r="F149" s="48" t="s">
        <v>70</v>
      </c>
      <c r="G149" s="48" t="s">
        <v>70</v>
      </c>
      <c r="H149" s="625" t="s">
        <v>70</v>
      </c>
      <c r="I149" s="50">
        <f>I150+I153</f>
        <v>0</v>
      </c>
      <c r="J149" s="50">
        <f>J150+J153</f>
        <v>0</v>
      </c>
      <c r="K149" s="50">
        <f>K150+K153</f>
        <v>0</v>
      </c>
      <c r="L149" s="51"/>
    </row>
    <row r="150" spans="1:47" ht="15">
      <c r="A150" s="88"/>
      <c r="B150" s="591" t="s">
        <v>177</v>
      </c>
      <c r="C150" s="710" t="s">
        <v>975</v>
      </c>
      <c r="D150" s="711"/>
      <c r="E150" s="711"/>
      <c r="F150" s="88" t="s">
        <v>70</v>
      </c>
      <c r="G150" s="88" t="s">
        <v>70</v>
      </c>
      <c r="H150" s="624" t="s">
        <v>70</v>
      </c>
      <c r="I150" s="90">
        <f>SUM(I151:I152)</f>
        <v>0</v>
      </c>
      <c r="J150" s="90">
        <f>SUM(J151:J152)</f>
        <v>0</v>
      </c>
      <c r="K150" s="90">
        <f>SUM(K151:K152)</f>
        <v>0</v>
      </c>
      <c r="L150" s="91"/>
      <c r="AI150" s="67" t="s">
        <v>192</v>
      </c>
      <c r="AS150" s="68">
        <f>SUM(AJ151:AJ152)</f>
        <v>0</v>
      </c>
      <c r="AT150" s="68">
        <f>SUM(AK151:AK152)</f>
        <v>0</v>
      </c>
      <c r="AU150" s="68">
        <f>SUM(AL151:AL152)</f>
        <v>0</v>
      </c>
    </row>
    <row r="151" spans="1:62" ht="15">
      <c r="A151" s="589" t="s">
        <v>408</v>
      </c>
      <c r="B151" s="589" t="s">
        <v>1123</v>
      </c>
      <c r="C151" s="696" t="s">
        <v>1124</v>
      </c>
      <c r="D151" s="693"/>
      <c r="E151" s="693"/>
      <c r="F151" s="589" t="s">
        <v>253</v>
      </c>
      <c r="G151" s="70">
        <v>113.8</v>
      </c>
      <c r="H151" s="580">
        <v>0</v>
      </c>
      <c r="I151" s="70">
        <f>G151*AO151</f>
        <v>0</v>
      </c>
      <c r="J151" s="70">
        <f>G151*AP151</f>
        <v>0</v>
      </c>
      <c r="K151" s="70">
        <f>G151*H151</f>
        <v>0</v>
      </c>
      <c r="L151" s="71" t="s">
        <v>110</v>
      </c>
      <c r="Z151" s="70">
        <f>IF(AQ151="5",BJ151,0)</f>
        <v>0</v>
      </c>
      <c r="AB151" s="70">
        <f>IF(AQ151="1",BH151,0)</f>
        <v>0</v>
      </c>
      <c r="AC151" s="70">
        <f>IF(AQ151="1",BI151,0)</f>
        <v>0</v>
      </c>
      <c r="AD151" s="70">
        <f>IF(AQ151="7",BH151,0)</f>
        <v>0</v>
      </c>
      <c r="AE151" s="70">
        <f>IF(AQ151="7",BI151,0)</f>
        <v>0</v>
      </c>
      <c r="AF151" s="70">
        <f>IF(AQ151="2",BH151,0)</f>
        <v>0</v>
      </c>
      <c r="AG151" s="70">
        <f>IF(AQ151="2",BI151,0)</f>
        <v>0</v>
      </c>
      <c r="AH151" s="70">
        <f>IF(AQ151="0",BJ151,0)</f>
        <v>0</v>
      </c>
      <c r="AI151" s="67" t="s">
        <v>192</v>
      </c>
      <c r="AJ151" s="70">
        <f>IF(AN151=0,K151,0)</f>
        <v>0</v>
      </c>
      <c r="AK151" s="70">
        <f>IF(AN151=15,K151,0)</f>
        <v>0</v>
      </c>
      <c r="AL151" s="70">
        <f>IF(AN151=21,K151,0)</f>
        <v>0</v>
      </c>
      <c r="AN151" s="70">
        <v>21</v>
      </c>
      <c r="AO151" s="70">
        <f>H151*0.311111111111111</f>
        <v>0</v>
      </c>
      <c r="AP151" s="70">
        <f>H151*(1-0.311111111111111)</f>
        <v>0</v>
      </c>
      <c r="AQ151" s="71" t="s">
        <v>106</v>
      </c>
      <c r="AV151" s="70">
        <f>AW151+AX151</f>
        <v>0</v>
      </c>
      <c r="AW151" s="70">
        <f>G151*AO151</f>
        <v>0</v>
      </c>
      <c r="AX151" s="70">
        <f>G151*AP151</f>
        <v>0</v>
      </c>
      <c r="AY151" s="71" t="s">
        <v>439</v>
      </c>
      <c r="AZ151" s="71" t="s">
        <v>196</v>
      </c>
      <c r="BA151" s="67" t="s">
        <v>197</v>
      </c>
      <c r="BC151" s="70">
        <f>AW151+AX151</f>
        <v>0</v>
      </c>
      <c r="BD151" s="70">
        <f>H151/(100-BE151)*100</f>
        <v>0</v>
      </c>
      <c r="BE151" s="70">
        <v>0</v>
      </c>
      <c r="BF151" s="70">
        <f>151</f>
        <v>151</v>
      </c>
      <c r="BH151" s="70">
        <f>G151*AO151</f>
        <v>0</v>
      </c>
      <c r="BI151" s="70">
        <f>G151*AP151</f>
        <v>0</v>
      </c>
      <c r="BJ151" s="70">
        <f>G151*H151</f>
        <v>0</v>
      </c>
    </row>
    <row r="152" spans="1:62" ht="15">
      <c r="A152" s="589" t="s">
        <v>411</v>
      </c>
      <c r="B152" s="589" t="s">
        <v>994</v>
      </c>
      <c r="C152" s="696" t="s">
        <v>1125</v>
      </c>
      <c r="D152" s="693"/>
      <c r="E152" s="693"/>
      <c r="F152" s="589" t="s">
        <v>253</v>
      </c>
      <c r="G152" s="70">
        <v>113.8</v>
      </c>
      <c r="H152" s="580">
        <v>0</v>
      </c>
      <c r="I152" s="70">
        <f>G152*AO152</f>
        <v>0</v>
      </c>
      <c r="J152" s="70">
        <f>G152*AP152</f>
        <v>0</v>
      </c>
      <c r="K152" s="70">
        <f>G152*H152</f>
        <v>0</v>
      </c>
      <c r="L152" s="71" t="s">
        <v>996</v>
      </c>
      <c r="Z152" s="70">
        <f>IF(AQ152="5",BJ152,0)</f>
        <v>0</v>
      </c>
      <c r="AB152" s="70">
        <f>IF(AQ152="1",BH152,0)</f>
        <v>0</v>
      </c>
      <c r="AC152" s="70">
        <f>IF(AQ152="1",BI152,0)</f>
        <v>0</v>
      </c>
      <c r="AD152" s="70">
        <f>IF(AQ152="7",BH152,0)</f>
        <v>0</v>
      </c>
      <c r="AE152" s="70">
        <f>IF(AQ152="7",BI152,0)</f>
        <v>0</v>
      </c>
      <c r="AF152" s="70">
        <f>IF(AQ152="2",BH152,0)</f>
        <v>0</v>
      </c>
      <c r="AG152" s="70">
        <f>IF(AQ152="2",BI152,0)</f>
        <v>0</v>
      </c>
      <c r="AH152" s="70">
        <f>IF(AQ152="0",BJ152,0)</f>
        <v>0</v>
      </c>
      <c r="AI152" s="67" t="s">
        <v>192</v>
      </c>
      <c r="AJ152" s="70">
        <f>IF(AN152=0,K152,0)</f>
        <v>0</v>
      </c>
      <c r="AK152" s="70">
        <f>IF(AN152=15,K152,0)</f>
        <v>0</v>
      </c>
      <c r="AL152" s="70">
        <f>IF(AN152=21,K152,0)</f>
        <v>0</v>
      </c>
      <c r="AN152" s="70">
        <v>21</v>
      </c>
      <c r="AO152" s="70">
        <f>H152*0</f>
        <v>0</v>
      </c>
      <c r="AP152" s="70">
        <f>H152*(1-0)</f>
        <v>0</v>
      </c>
      <c r="AQ152" s="71" t="s">
        <v>106</v>
      </c>
      <c r="AV152" s="70">
        <f>AW152+AX152</f>
        <v>0</v>
      </c>
      <c r="AW152" s="70">
        <f>G152*AO152</f>
        <v>0</v>
      </c>
      <c r="AX152" s="70">
        <f>G152*AP152</f>
        <v>0</v>
      </c>
      <c r="AY152" s="71" t="s">
        <v>439</v>
      </c>
      <c r="AZ152" s="71" t="s">
        <v>196</v>
      </c>
      <c r="BA152" s="67" t="s">
        <v>197</v>
      </c>
      <c r="BC152" s="70">
        <f>AW152+AX152</f>
        <v>0</v>
      </c>
      <c r="BD152" s="70">
        <f>H152/(100-BE152)*100</f>
        <v>0</v>
      </c>
      <c r="BE152" s="70">
        <v>0</v>
      </c>
      <c r="BF152" s="70">
        <f>152</f>
        <v>152</v>
      </c>
      <c r="BH152" s="70">
        <f>G152*AO152</f>
        <v>0</v>
      </c>
      <c r="BI152" s="70">
        <f>G152*AP152</f>
        <v>0</v>
      </c>
      <c r="BJ152" s="70">
        <f>G152*H152</f>
        <v>0</v>
      </c>
    </row>
    <row r="153" spans="1:47" ht="15">
      <c r="A153" s="88"/>
      <c r="B153" s="591"/>
      <c r="C153" s="710" t="s">
        <v>52</v>
      </c>
      <c r="D153" s="711"/>
      <c r="E153" s="711"/>
      <c r="F153" s="88" t="s">
        <v>70</v>
      </c>
      <c r="G153" s="88" t="s">
        <v>70</v>
      </c>
      <c r="H153" s="624" t="s">
        <v>70</v>
      </c>
      <c r="I153" s="90">
        <f>SUM(I154:I154)</f>
        <v>0</v>
      </c>
      <c r="J153" s="90">
        <f>SUM(J154:J154)</f>
        <v>0</v>
      </c>
      <c r="K153" s="90">
        <f>SUM(K154:K154)</f>
        <v>0</v>
      </c>
      <c r="L153" s="91"/>
      <c r="AI153" s="67" t="s">
        <v>192</v>
      </c>
      <c r="AS153" s="68">
        <f>SUM(AJ154:AJ154)</f>
        <v>0</v>
      </c>
      <c r="AT153" s="68">
        <f>SUM(AK154:AK154)</f>
        <v>0</v>
      </c>
      <c r="AU153" s="68">
        <f>SUM(AL154:AL154)</f>
        <v>0</v>
      </c>
    </row>
    <row r="154" spans="1:62" ht="15">
      <c r="A154" s="589" t="s">
        <v>415</v>
      </c>
      <c r="B154" s="589" t="s">
        <v>1014</v>
      </c>
      <c r="C154" s="696" t="s">
        <v>1120</v>
      </c>
      <c r="D154" s="693"/>
      <c r="E154" s="693"/>
      <c r="F154" s="589" t="s">
        <v>253</v>
      </c>
      <c r="G154" s="70">
        <v>113.8</v>
      </c>
      <c r="H154" s="580">
        <v>0</v>
      </c>
      <c r="I154" s="70">
        <f>G154*AO154</f>
        <v>0</v>
      </c>
      <c r="J154" s="70">
        <f>G154*AP154</f>
        <v>0</v>
      </c>
      <c r="K154" s="70">
        <f>G154*H154</f>
        <v>0</v>
      </c>
      <c r="L154" s="71" t="s">
        <v>120</v>
      </c>
      <c r="Z154" s="70">
        <f>IF(AQ154="5",BJ154,0)</f>
        <v>0</v>
      </c>
      <c r="AB154" s="70">
        <f>IF(AQ154="1",BH154,0)</f>
        <v>0</v>
      </c>
      <c r="AC154" s="70">
        <f>IF(AQ154="1",BI154,0)</f>
        <v>0</v>
      </c>
      <c r="AD154" s="70">
        <f>IF(AQ154="7",BH154,0)</f>
        <v>0</v>
      </c>
      <c r="AE154" s="70">
        <f>IF(AQ154="7",BI154,0)</f>
        <v>0</v>
      </c>
      <c r="AF154" s="70">
        <f>IF(AQ154="2",BH154,0)</f>
        <v>0</v>
      </c>
      <c r="AG154" s="70">
        <f>IF(AQ154="2",BI154,0)</f>
        <v>0</v>
      </c>
      <c r="AH154" s="70">
        <f>IF(AQ154="0",BJ154,0)</f>
        <v>0</v>
      </c>
      <c r="AI154" s="67" t="s">
        <v>192</v>
      </c>
      <c r="AJ154" s="70">
        <f>IF(AN154=0,K154,0)</f>
        <v>0</v>
      </c>
      <c r="AK154" s="70">
        <f>IF(AN154=15,K154,0)</f>
        <v>0</v>
      </c>
      <c r="AL154" s="70">
        <f>IF(AN154=21,K154,0)</f>
        <v>0</v>
      </c>
      <c r="AN154" s="70">
        <v>21</v>
      </c>
      <c r="AO154" s="70">
        <f>H154*1</f>
        <v>0</v>
      </c>
      <c r="AP154" s="70">
        <f>H154*(1-1)</f>
        <v>0</v>
      </c>
      <c r="AQ154" s="71" t="s">
        <v>355</v>
      </c>
      <c r="AV154" s="70">
        <f>AW154+AX154</f>
        <v>0</v>
      </c>
      <c r="AW154" s="70">
        <f>G154*AO154</f>
        <v>0</v>
      </c>
      <c r="AX154" s="70">
        <f>G154*AP154</f>
        <v>0</v>
      </c>
      <c r="AY154" s="71" t="s">
        <v>356</v>
      </c>
      <c r="AZ154" s="71" t="s">
        <v>1126</v>
      </c>
      <c r="BA154" s="67" t="s">
        <v>197</v>
      </c>
      <c r="BC154" s="70">
        <f>AW154+AX154</f>
        <v>0</v>
      </c>
      <c r="BD154" s="70">
        <f>H154/(100-BE154)*100</f>
        <v>0</v>
      </c>
      <c r="BE154" s="70">
        <v>0</v>
      </c>
      <c r="BF154" s="70">
        <f>154</f>
        <v>154</v>
      </c>
      <c r="BH154" s="70">
        <f>G154*AO154</f>
        <v>0</v>
      </c>
      <c r="BI154" s="70">
        <f>G154*AP154</f>
        <v>0</v>
      </c>
      <c r="BJ154" s="70">
        <f>G154*H154</f>
        <v>0</v>
      </c>
    </row>
    <row r="155" spans="1:12" ht="15">
      <c r="A155" s="48"/>
      <c r="B155" s="590"/>
      <c r="C155" s="727" t="s">
        <v>1127</v>
      </c>
      <c r="D155" s="728"/>
      <c r="E155" s="728"/>
      <c r="F155" s="48" t="s">
        <v>70</v>
      </c>
      <c r="G155" s="48" t="s">
        <v>70</v>
      </c>
      <c r="H155" s="625" t="s">
        <v>70</v>
      </c>
      <c r="I155" s="50">
        <f>I156+I167+I169</f>
        <v>0</v>
      </c>
      <c r="J155" s="50">
        <f>J156+J167+J169</f>
        <v>0</v>
      </c>
      <c r="K155" s="50">
        <f>K156+K167+K169</f>
        <v>0</v>
      </c>
      <c r="L155" s="51"/>
    </row>
    <row r="156" spans="1:47" ht="15">
      <c r="A156" s="88"/>
      <c r="B156" s="591" t="s">
        <v>177</v>
      </c>
      <c r="C156" s="710" t="s">
        <v>975</v>
      </c>
      <c r="D156" s="711"/>
      <c r="E156" s="711"/>
      <c r="F156" s="88" t="s">
        <v>70</v>
      </c>
      <c r="G156" s="88" t="s">
        <v>70</v>
      </c>
      <c r="H156" s="624" t="s">
        <v>70</v>
      </c>
      <c r="I156" s="90">
        <f>SUM(I157:I166)</f>
        <v>0</v>
      </c>
      <c r="J156" s="90">
        <f>SUM(J157:J166)</f>
        <v>0</v>
      </c>
      <c r="K156" s="90">
        <f>SUM(K157:K166)</f>
        <v>0</v>
      </c>
      <c r="L156" s="91"/>
      <c r="AI156" s="67" t="s">
        <v>205</v>
      </c>
      <c r="AS156" s="68">
        <f>SUM(AJ157:AJ166)</f>
        <v>0</v>
      </c>
      <c r="AT156" s="68">
        <f>SUM(AK157:AK166)</f>
        <v>0</v>
      </c>
      <c r="AU156" s="68">
        <f>SUM(AL157:AL166)</f>
        <v>0</v>
      </c>
    </row>
    <row r="157" spans="1:62" ht="15">
      <c r="A157" s="589" t="s">
        <v>419</v>
      </c>
      <c r="B157" s="589" t="s">
        <v>1020</v>
      </c>
      <c r="C157" s="696" t="s">
        <v>1128</v>
      </c>
      <c r="D157" s="693"/>
      <c r="E157" s="693"/>
      <c r="F157" s="589" t="s">
        <v>109</v>
      </c>
      <c r="G157" s="70">
        <v>2739</v>
      </c>
      <c r="H157" s="580">
        <v>0</v>
      </c>
      <c r="I157" s="70">
        <f>G157*AO157</f>
        <v>0</v>
      </c>
      <c r="J157" s="70">
        <f>G157*AP157</f>
        <v>0</v>
      </c>
      <c r="K157" s="70">
        <f>G157*H157</f>
        <v>0</v>
      </c>
      <c r="L157" s="71" t="s">
        <v>120</v>
      </c>
      <c r="Z157" s="70">
        <f>IF(AQ157="5",BJ157,0)</f>
        <v>0</v>
      </c>
      <c r="AB157" s="70">
        <f>IF(AQ157="1",BH157,0)</f>
        <v>0</v>
      </c>
      <c r="AC157" s="70">
        <f>IF(AQ157="1",BI157,0)</f>
        <v>0</v>
      </c>
      <c r="AD157" s="70">
        <f>IF(AQ157="7",BH157,0)</f>
        <v>0</v>
      </c>
      <c r="AE157" s="70">
        <f>IF(AQ157="7",BI157,0)</f>
        <v>0</v>
      </c>
      <c r="AF157" s="70">
        <f>IF(AQ157="2",BH157,0)</f>
        <v>0</v>
      </c>
      <c r="AG157" s="70">
        <f>IF(AQ157="2",BI157,0)</f>
        <v>0</v>
      </c>
      <c r="AH157" s="70">
        <f>IF(AQ157="0",BJ157,0)</f>
        <v>0</v>
      </c>
      <c r="AI157" s="67" t="s">
        <v>205</v>
      </c>
      <c r="AJ157" s="70">
        <f>IF(AN157=0,K157,0)</f>
        <v>0</v>
      </c>
      <c r="AK157" s="70">
        <f>IF(AN157=15,K157,0)</f>
        <v>0</v>
      </c>
      <c r="AL157" s="70">
        <f>IF(AN157=21,K157,0)</f>
        <v>0</v>
      </c>
      <c r="AN157" s="70">
        <v>21</v>
      </c>
      <c r="AO157" s="70">
        <f>H157*0.00665024630541872</f>
        <v>0</v>
      </c>
      <c r="AP157" s="70">
        <f>H157*(1-0.00665024630541872)</f>
        <v>0</v>
      </c>
      <c r="AQ157" s="71" t="s">
        <v>106</v>
      </c>
      <c r="AV157" s="70">
        <f>AW157+AX157</f>
        <v>0</v>
      </c>
      <c r="AW157" s="70">
        <f>G157*AO157</f>
        <v>0</v>
      </c>
      <c r="AX157" s="70">
        <f>G157*AP157</f>
        <v>0</v>
      </c>
      <c r="AY157" s="71" t="s">
        <v>439</v>
      </c>
      <c r="AZ157" s="71" t="s">
        <v>210</v>
      </c>
      <c r="BA157" s="67" t="s">
        <v>211</v>
      </c>
      <c r="BC157" s="70">
        <f>AW157+AX157</f>
        <v>0</v>
      </c>
      <c r="BD157" s="70">
        <f>H157/(100-BE157)*100</f>
        <v>0</v>
      </c>
      <c r="BE157" s="70">
        <v>0</v>
      </c>
      <c r="BF157" s="70">
        <f>157</f>
        <v>157</v>
      </c>
      <c r="BH157" s="70">
        <f>G157*AO157</f>
        <v>0</v>
      </c>
      <c r="BI157" s="70">
        <f>G157*AP157</f>
        <v>0</v>
      </c>
      <c r="BJ157" s="70">
        <f>G157*H157</f>
        <v>0</v>
      </c>
    </row>
    <row r="158" spans="1:62" ht="15">
      <c r="A158" s="589" t="s">
        <v>422</v>
      </c>
      <c r="B158" s="589" t="s">
        <v>1023</v>
      </c>
      <c r="C158" s="696" t="s">
        <v>1090</v>
      </c>
      <c r="D158" s="693"/>
      <c r="E158" s="693"/>
      <c r="F158" s="589" t="s">
        <v>109</v>
      </c>
      <c r="G158" s="70">
        <v>2739</v>
      </c>
      <c r="H158" s="580">
        <v>0</v>
      </c>
      <c r="I158" s="70">
        <f>G158*AO158</f>
        <v>0</v>
      </c>
      <c r="J158" s="70">
        <f>G158*AP158</f>
        <v>0</v>
      </c>
      <c r="K158" s="70">
        <f>G158*H158</f>
        <v>0</v>
      </c>
      <c r="L158" s="71" t="s">
        <v>120</v>
      </c>
      <c r="Z158" s="70">
        <f>IF(AQ158="5",BJ158,0)</f>
        <v>0</v>
      </c>
      <c r="AB158" s="70">
        <f>IF(AQ158="1",BH158,0)</f>
        <v>0</v>
      </c>
      <c r="AC158" s="70">
        <f>IF(AQ158="1",BI158,0)</f>
        <v>0</v>
      </c>
      <c r="AD158" s="70">
        <f>IF(AQ158="7",BH158,0)</f>
        <v>0</v>
      </c>
      <c r="AE158" s="70">
        <f>IF(AQ158="7",BI158,0)</f>
        <v>0</v>
      </c>
      <c r="AF158" s="70">
        <f>IF(AQ158="2",BH158,0)</f>
        <v>0</v>
      </c>
      <c r="AG158" s="70">
        <f>IF(AQ158="2",BI158,0)</f>
        <v>0</v>
      </c>
      <c r="AH158" s="70">
        <f>IF(AQ158="0",BJ158,0)</f>
        <v>0</v>
      </c>
      <c r="AI158" s="67" t="s">
        <v>205</v>
      </c>
      <c r="AJ158" s="70">
        <f>IF(AN158=0,K158,0)</f>
        <v>0</v>
      </c>
      <c r="AK158" s="70">
        <f>IF(AN158=15,K158,0)</f>
        <v>0</v>
      </c>
      <c r="AL158" s="70">
        <f>IF(AN158=21,K158,0)</f>
        <v>0</v>
      </c>
      <c r="AN158" s="70">
        <v>21</v>
      </c>
      <c r="AO158" s="70">
        <f>H158*0</f>
        <v>0</v>
      </c>
      <c r="AP158" s="70">
        <f>H158*(1-0)</f>
        <v>0</v>
      </c>
      <c r="AQ158" s="71" t="s">
        <v>106</v>
      </c>
      <c r="AV158" s="70">
        <f>AW158+AX158</f>
        <v>0</v>
      </c>
      <c r="AW158" s="70">
        <f>G158*AO158</f>
        <v>0</v>
      </c>
      <c r="AX158" s="70">
        <f>G158*AP158</f>
        <v>0</v>
      </c>
      <c r="AY158" s="71" t="s">
        <v>439</v>
      </c>
      <c r="AZ158" s="71" t="s">
        <v>210</v>
      </c>
      <c r="BA158" s="67" t="s">
        <v>211</v>
      </c>
      <c r="BC158" s="70">
        <f>AW158+AX158</f>
        <v>0</v>
      </c>
      <c r="BD158" s="70">
        <f>H158/(100-BE158)*100</f>
        <v>0</v>
      </c>
      <c r="BE158" s="70">
        <v>0</v>
      </c>
      <c r="BF158" s="70">
        <f>158</f>
        <v>158</v>
      </c>
      <c r="BH158" s="70">
        <f>G158*AO158</f>
        <v>0</v>
      </c>
      <c r="BI158" s="70">
        <f>G158*AP158</f>
        <v>0</v>
      </c>
      <c r="BJ158" s="70">
        <f>G158*H158</f>
        <v>0</v>
      </c>
    </row>
    <row r="159" spans="1:62" ht="15">
      <c r="A159" s="589" t="s">
        <v>424</v>
      </c>
      <c r="B159" s="589" t="s">
        <v>1031</v>
      </c>
      <c r="C159" s="696" t="s">
        <v>1032</v>
      </c>
      <c r="D159" s="693"/>
      <c r="E159" s="693"/>
      <c r="F159" s="589" t="s">
        <v>109</v>
      </c>
      <c r="G159" s="70">
        <v>2739</v>
      </c>
      <c r="H159" s="580">
        <v>0</v>
      </c>
      <c r="I159" s="70">
        <f>G159*AO159</f>
        <v>0</v>
      </c>
      <c r="J159" s="70">
        <f>G159*AP159</f>
        <v>0</v>
      </c>
      <c r="K159" s="70">
        <f>G159*H159</f>
        <v>0</v>
      </c>
      <c r="L159" s="71" t="s">
        <v>120</v>
      </c>
      <c r="Z159" s="70">
        <f>IF(AQ159="5",BJ159,0)</f>
        <v>0</v>
      </c>
      <c r="AB159" s="70">
        <f>IF(AQ159="1",BH159,0)</f>
        <v>0</v>
      </c>
      <c r="AC159" s="70">
        <f>IF(AQ159="1",BI159,0)</f>
        <v>0</v>
      </c>
      <c r="AD159" s="70">
        <f>IF(AQ159="7",BH159,0)</f>
        <v>0</v>
      </c>
      <c r="AE159" s="70">
        <f>IF(AQ159="7",BI159,0)</f>
        <v>0</v>
      </c>
      <c r="AF159" s="70">
        <f>IF(AQ159="2",BH159,0)</f>
        <v>0</v>
      </c>
      <c r="AG159" s="70">
        <f>IF(AQ159="2",BI159,0)</f>
        <v>0</v>
      </c>
      <c r="AH159" s="70">
        <f>IF(AQ159="0",BJ159,0)</f>
        <v>0</v>
      </c>
      <c r="AI159" s="67" t="s">
        <v>205</v>
      </c>
      <c r="AJ159" s="70">
        <f>IF(AN159=0,K159,0)</f>
        <v>0</v>
      </c>
      <c r="AK159" s="70">
        <f>IF(AN159=15,K159,0)</f>
        <v>0</v>
      </c>
      <c r="AL159" s="70">
        <f>IF(AN159=21,K159,0)</f>
        <v>0</v>
      </c>
      <c r="AN159" s="70">
        <v>21</v>
      </c>
      <c r="AO159" s="70">
        <f>H159*0</f>
        <v>0</v>
      </c>
      <c r="AP159" s="70">
        <f>H159*(1-0)</f>
        <v>0</v>
      </c>
      <c r="AQ159" s="71" t="s">
        <v>106</v>
      </c>
      <c r="AV159" s="70">
        <f>AW159+AX159</f>
        <v>0</v>
      </c>
      <c r="AW159" s="70">
        <f>G159*AO159</f>
        <v>0</v>
      </c>
      <c r="AX159" s="70">
        <f>G159*AP159</f>
        <v>0</v>
      </c>
      <c r="AY159" s="71" t="s">
        <v>439</v>
      </c>
      <c r="AZ159" s="71" t="s">
        <v>210</v>
      </c>
      <c r="BA159" s="67" t="s">
        <v>211</v>
      </c>
      <c r="BC159" s="70">
        <f>AW159+AX159</f>
        <v>0</v>
      </c>
      <c r="BD159" s="70">
        <f>H159/(100-BE159)*100</f>
        <v>0</v>
      </c>
      <c r="BE159" s="70">
        <v>0</v>
      </c>
      <c r="BF159" s="70">
        <f>159</f>
        <v>159</v>
      </c>
      <c r="BH159" s="70">
        <f>G159*AO159</f>
        <v>0</v>
      </c>
      <c r="BI159" s="70">
        <f>G159*AP159</f>
        <v>0</v>
      </c>
      <c r="BJ159" s="70">
        <f>G159*H159</f>
        <v>0</v>
      </c>
    </row>
    <row r="160" spans="2:12" ht="12.75" customHeight="1">
      <c r="B160" s="75" t="s">
        <v>67</v>
      </c>
      <c r="C160" s="725" t="s">
        <v>1129</v>
      </c>
      <c r="D160" s="726"/>
      <c r="E160" s="726"/>
      <c r="F160" s="726"/>
      <c r="G160" s="726"/>
      <c r="H160" s="726"/>
      <c r="I160" s="726"/>
      <c r="J160" s="726"/>
      <c r="K160" s="726"/>
      <c r="L160" s="726"/>
    </row>
    <row r="161" spans="1:62" ht="15">
      <c r="A161" s="589" t="s">
        <v>428</v>
      </c>
      <c r="B161" s="589" t="s">
        <v>1130</v>
      </c>
      <c r="C161" s="696" t="s">
        <v>1131</v>
      </c>
      <c r="D161" s="693"/>
      <c r="E161" s="693"/>
      <c r="F161" s="589" t="s">
        <v>109</v>
      </c>
      <c r="G161" s="70">
        <v>2739</v>
      </c>
      <c r="H161" s="580">
        <v>0</v>
      </c>
      <c r="I161" s="70">
        <f aca="true" t="shared" si="94" ref="I161:I166">G161*AO161</f>
        <v>0</v>
      </c>
      <c r="J161" s="70">
        <f aca="true" t="shared" si="95" ref="J161:J166">G161*AP161</f>
        <v>0</v>
      </c>
      <c r="K161" s="70">
        <f aca="true" t="shared" si="96" ref="K161:K166">G161*H161</f>
        <v>0</v>
      </c>
      <c r="L161" s="71" t="s">
        <v>120</v>
      </c>
      <c r="Z161" s="70">
        <f aca="true" t="shared" si="97" ref="Z161:Z166">IF(AQ161="5",BJ161,0)</f>
        <v>0</v>
      </c>
      <c r="AB161" s="70">
        <f aca="true" t="shared" si="98" ref="AB161:AB166">IF(AQ161="1",BH161,0)</f>
        <v>0</v>
      </c>
      <c r="AC161" s="70">
        <f aca="true" t="shared" si="99" ref="AC161:AC166">IF(AQ161="1",BI161,0)</f>
        <v>0</v>
      </c>
      <c r="AD161" s="70">
        <f aca="true" t="shared" si="100" ref="AD161:AD166">IF(AQ161="7",BH161,0)</f>
        <v>0</v>
      </c>
      <c r="AE161" s="70">
        <f aca="true" t="shared" si="101" ref="AE161:AE166">IF(AQ161="7",BI161,0)</f>
        <v>0</v>
      </c>
      <c r="AF161" s="70">
        <f aca="true" t="shared" si="102" ref="AF161:AF166">IF(AQ161="2",BH161,0)</f>
        <v>0</v>
      </c>
      <c r="AG161" s="70">
        <f aca="true" t="shared" si="103" ref="AG161:AG166">IF(AQ161="2",BI161,0)</f>
        <v>0</v>
      </c>
      <c r="AH161" s="70">
        <f aca="true" t="shared" si="104" ref="AH161:AH166">IF(AQ161="0",BJ161,0)</f>
        <v>0</v>
      </c>
      <c r="AI161" s="67" t="s">
        <v>205</v>
      </c>
      <c r="AJ161" s="70">
        <f aca="true" t="shared" si="105" ref="AJ161:AJ166">IF(AN161=0,K161,0)</f>
        <v>0</v>
      </c>
      <c r="AK161" s="70">
        <f aca="true" t="shared" si="106" ref="AK161:AK166">IF(AN161=15,K161,0)</f>
        <v>0</v>
      </c>
      <c r="AL161" s="70">
        <f aca="true" t="shared" si="107" ref="AL161:AL166">IF(AN161=21,K161,0)</f>
        <v>0</v>
      </c>
      <c r="AN161" s="70">
        <v>21</v>
      </c>
      <c r="AO161" s="70">
        <f>H161*0</f>
        <v>0</v>
      </c>
      <c r="AP161" s="70">
        <f>H161*(1-0)</f>
        <v>0</v>
      </c>
      <c r="AQ161" s="71" t="s">
        <v>106</v>
      </c>
      <c r="AV161" s="70">
        <f aca="true" t="shared" si="108" ref="AV161:AV166">AW161+AX161</f>
        <v>0</v>
      </c>
      <c r="AW161" s="70">
        <f aca="true" t="shared" si="109" ref="AW161:AW166">G161*AO161</f>
        <v>0</v>
      </c>
      <c r="AX161" s="70">
        <f aca="true" t="shared" si="110" ref="AX161:AX166">G161*AP161</f>
        <v>0</v>
      </c>
      <c r="AY161" s="71" t="s">
        <v>439</v>
      </c>
      <c r="AZ161" s="71" t="s">
        <v>210</v>
      </c>
      <c r="BA161" s="67" t="s">
        <v>211</v>
      </c>
      <c r="BC161" s="70">
        <f aca="true" t="shared" si="111" ref="BC161:BC166">AW161+AX161</f>
        <v>0</v>
      </c>
      <c r="BD161" s="70">
        <f aca="true" t="shared" si="112" ref="BD161:BD166">H161/(100-BE161)*100</f>
        <v>0</v>
      </c>
      <c r="BE161" s="70">
        <v>0</v>
      </c>
      <c r="BF161" s="70">
        <f>161</f>
        <v>161</v>
      </c>
      <c r="BH161" s="70">
        <f aca="true" t="shared" si="113" ref="BH161:BH166">G161*AO161</f>
        <v>0</v>
      </c>
      <c r="BI161" s="70">
        <f aca="true" t="shared" si="114" ref="BI161:BI166">G161*AP161</f>
        <v>0</v>
      </c>
      <c r="BJ161" s="70">
        <f aca="true" t="shared" si="115" ref="BJ161:BJ166">G161*H161</f>
        <v>0</v>
      </c>
    </row>
    <row r="162" spans="1:62" ht="15">
      <c r="A162" s="589" t="s">
        <v>430</v>
      </c>
      <c r="B162" s="589" t="s">
        <v>1132</v>
      </c>
      <c r="C162" s="696" t="s">
        <v>1133</v>
      </c>
      <c r="D162" s="693"/>
      <c r="E162" s="693"/>
      <c r="F162" s="589" t="s">
        <v>109</v>
      </c>
      <c r="G162" s="70">
        <v>5478</v>
      </c>
      <c r="H162" s="580">
        <v>0</v>
      </c>
      <c r="I162" s="70">
        <f t="shared" si="94"/>
        <v>0</v>
      </c>
      <c r="J162" s="70">
        <f t="shared" si="95"/>
        <v>0</v>
      </c>
      <c r="K162" s="70">
        <f t="shared" si="96"/>
        <v>0</v>
      </c>
      <c r="L162" s="71" t="s">
        <v>120</v>
      </c>
      <c r="Z162" s="70">
        <f t="shared" si="97"/>
        <v>0</v>
      </c>
      <c r="AB162" s="70">
        <f t="shared" si="98"/>
        <v>0</v>
      </c>
      <c r="AC162" s="70">
        <f t="shared" si="99"/>
        <v>0</v>
      </c>
      <c r="AD162" s="70">
        <f t="shared" si="100"/>
        <v>0</v>
      </c>
      <c r="AE162" s="70">
        <f t="shared" si="101"/>
        <v>0</v>
      </c>
      <c r="AF162" s="70">
        <f t="shared" si="102"/>
        <v>0</v>
      </c>
      <c r="AG162" s="70">
        <f t="shared" si="103"/>
        <v>0</v>
      </c>
      <c r="AH162" s="70">
        <f t="shared" si="104"/>
        <v>0</v>
      </c>
      <c r="AI162" s="67" t="s">
        <v>205</v>
      </c>
      <c r="AJ162" s="70">
        <f t="shared" si="105"/>
        <v>0</v>
      </c>
      <c r="AK162" s="70">
        <f t="shared" si="106"/>
        <v>0</v>
      </c>
      <c r="AL162" s="70">
        <f t="shared" si="107"/>
        <v>0</v>
      </c>
      <c r="AN162" s="70">
        <v>21</v>
      </c>
      <c r="AO162" s="70">
        <f>H162*0</f>
        <v>0</v>
      </c>
      <c r="AP162" s="70">
        <f>H162*(1-0)</f>
        <v>0</v>
      </c>
      <c r="AQ162" s="71" t="s">
        <v>106</v>
      </c>
      <c r="AV162" s="70">
        <f t="shared" si="108"/>
        <v>0</v>
      </c>
      <c r="AW162" s="70">
        <f t="shared" si="109"/>
        <v>0</v>
      </c>
      <c r="AX162" s="70">
        <f t="shared" si="110"/>
        <v>0</v>
      </c>
      <c r="AY162" s="71" t="s">
        <v>439</v>
      </c>
      <c r="AZ162" s="71" t="s">
        <v>210</v>
      </c>
      <c r="BA162" s="67" t="s">
        <v>211</v>
      </c>
      <c r="BC162" s="70">
        <f t="shared" si="111"/>
        <v>0</v>
      </c>
      <c r="BD162" s="70">
        <f t="shared" si="112"/>
        <v>0</v>
      </c>
      <c r="BE162" s="70">
        <v>0</v>
      </c>
      <c r="BF162" s="70">
        <f>162</f>
        <v>162</v>
      </c>
      <c r="BH162" s="70">
        <f t="shared" si="113"/>
        <v>0</v>
      </c>
      <c r="BI162" s="70">
        <f t="shared" si="114"/>
        <v>0</v>
      </c>
      <c r="BJ162" s="70">
        <f t="shared" si="115"/>
        <v>0</v>
      </c>
    </row>
    <row r="163" spans="1:62" ht="15">
      <c r="A163" s="589" t="s">
        <v>433</v>
      </c>
      <c r="B163" s="589" t="s">
        <v>1134</v>
      </c>
      <c r="C163" s="696" t="s">
        <v>1135</v>
      </c>
      <c r="D163" s="693"/>
      <c r="E163" s="693"/>
      <c r="F163" s="589" t="s">
        <v>109</v>
      </c>
      <c r="G163" s="70">
        <v>5478</v>
      </c>
      <c r="H163" s="580">
        <v>0</v>
      </c>
      <c r="I163" s="70">
        <f t="shared" si="94"/>
        <v>0</v>
      </c>
      <c r="J163" s="70">
        <f t="shared" si="95"/>
        <v>0</v>
      </c>
      <c r="K163" s="70">
        <f t="shared" si="96"/>
        <v>0</v>
      </c>
      <c r="L163" s="71" t="s">
        <v>120</v>
      </c>
      <c r="Z163" s="70">
        <f t="shared" si="97"/>
        <v>0</v>
      </c>
      <c r="AB163" s="70">
        <f t="shared" si="98"/>
        <v>0</v>
      </c>
      <c r="AC163" s="70">
        <f t="shared" si="99"/>
        <v>0</v>
      </c>
      <c r="AD163" s="70">
        <f t="shared" si="100"/>
        <v>0</v>
      </c>
      <c r="AE163" s="70">
        <f t="shared" si="101"/>
        <v>0</v>
      </c>
      <c r="AF163" s="70">
        <f t="shared" si="102"/>
        <v>0</v>
      </c>
      <c r="AG163" s="70">
        <f t="shared" si="103"/>
        <v>0</v>
      </c>
      <c r="AH163" s="70">
        <f t="shared" si="104"/>
        <v>0</v>
      </c>
      <c r="AI163" s="67" t="s">
        <v>205</v>
      </c>
      <c r="AJ163" s="70">
        <f t="shared" si="105"/>
        <v>0</v>
      </c>
      <c r="AK163" s="70">
        <f t="shared" si="106"/>
        <v>0</v>
      </c>
      <c r="AL163" s="70">
        <f t="shared" si="107"/>
        <v>0</v>
      </c>
      <c r="AN163" s="70">
        <v>21</v>
      </c>
      <c r="AO163" s="70">
        <f>H163*0</f>
        <v>0</v>
      </c>
      <c r="AP163" s="70">
        <f>H163*(1-0)</f>
        <v>0</v>
      </c>
      <c r="AQ163" s="71" t="s">
        <v>106</v>
      </c>
      <c r="AV163" s="70">
        <f t="shared" si="108"/>
        <v>0</v>
      </c>
      <c r="AW163" s="70">
        <f t="shared" si="109"/>
        <v>0</v>
      </c>
      <c r="AX163" s="70">
        <f t="shared" si="110"/>
        <v>0</v>
      </c>
      <c r="AY163" s="71" t="s">
        <v>439</v>
      </c>
      <c r="AZ163" s="71" t="s">
        <v>210</v>
      </c>
      <c r="BA163" s="67" t="s">
        <v>211</v>
      </c>
      <c r="BC163" s="70">
        <f t="shared" si="111"/>
        <v>0</v>
      </c>
      <c r="BD163" s="70">
        <f t="shared" si="112"/>
        <v>0</v>
      </c>
      <c r="BE163" s="70">
        <v>0</v>
      </c>
      <c r="BF163" s="70">
        <f>163</f>
        <v>163</v>
      </c>
      <c r="BH163" s="70">
        <f t="shared" si="113"/>
        <v>0</v>
      </c>
      <c r="BI163" s="70">
        <f t="shared" si="114"/>
        <v>0</v>
      </c>
      <c r="BJ163" s="70">
        <f t="shared" si="115"/>
        <v>0</v>
      </c>
    </row>
    <row r="164" spans="1:62" ht="15">
      <c r="A164" s="589" t="s">
        <v>436</v>
      </c>
      <c r="B164" s="589" t="s">
        <v>1136</v>
      </c>
      <c r="C164" s="696" t="s">
        <v>1137</v>
      </c>
      <c r="D164" s="693"/>
      <c r="E164" s="693"/>
      <c r="F164" s="589" t="s">
        <v>109</v>
      </c>
      <c r="G164" s="70">
        <v>2739</v>
      </c>
      <c r="H164" s="580">
        <v>0</v>
      </c>
      <c r="I164" s="70">
        <f t="shared" si="94"/>
        <v>0</v>
      </c>
      <c r="J164" s="70">
        <f t="shared" si="95"/>
        <v>0</v>
      </c>
      <c r="K164" s="70">
        <f t="shared" si="96"/>
        <v>0</v>
      </c>
      <c r="L164" s="71" t="s">
        <v>120</v>
      </c>
      <c r="Z164" s="70">
        <f t="shared" si="97"/>
        <v>0</v>
      </c>
      <c r="AB164" s="70">
        <f t="shared" si="98"/>
        <v>0</v>
      </c>
      <c r="AC164" s="70">
        <f t="shared" si="99"/>
        <v>0</v>
      </c>
      <c r="AD164" s="70">
        <f t="shared" si="100"/>
        <v>0</v>
      </c>
      <c r="AE164" s="70">
        <f t="shared" si="101"/>
        <v>0</v>
      </c>
      <c r="AF164" s="70">
        <f t="shared" si="102"/>
        <v>0</v>
      </c>
      <c r="AG164" s="70">
        <f t="shared" si="103"/>
        <v>0</v>
      </c>
      <c r="AH164" s="70">
        <f t="shared" si="104"/>
        <v>0</v>
      </c>
      <c r="AI164" s="67" t="s">
        <v>205</v>
      </c>
      <c r="AJ164" s="70">
        <f t="shared" si="105"/>
        <v>0</v>
      </c>
      <c r="AK164" s="70">
        <f t="shared" si="106"/>
        <v>0</v>
      </c>
      <c r="AL164" s="70">
        <f t="shared" si="107"/>
        <v>0</v>
      </c>
      <c r="AN164" s="70">
        <v>21</v>
      </c>
      <c r="AO164" s="70">
        <f>H164*0.0706896551724138</f>
        <v>0</v>
      </c>
      <c r="AP164" s="70">
        <f>H164*(1-0.0706896551724138)</f>
        <v>0</v>
      </c>
      <c r="AQ164" s="71" t="s">
        <v>106</v>
      </c>
      <c r="AV164" s="70">
        <f t="shared" si="108"/>
        <v>0</v>
      </c>
      <c r="AW164" s="70">
        <f t="shared" si="109"/>
        <v>0</v>
      </c>
      <c r="AX164" s="70">
        <f t="shared" si="110"/>
        <v>0</v>
      </c>
      <c r="AY164" s="71" t="s">
        <v>439</v>
      </c>
      <c r="AZ164" s="71" t="s">
        <v>210</v>
      </c>
      <c r="BA164" s="67" t="s">
        <v>211</v>
      </c>
      <c r="BC164" s="70">
        <f t="shared" si="111"/>
        <v>0</v>
      </c>
      <c r="BD164" s="70">
        <f t="shared" si="112"/>
        <v>0</v>
      </c>
      <c r="BE164" s="70">
        <v>0</v>
      </c>
      <c r="BF164" s="70">
        <f>164</f>
        <v>164</v>
      </c>
      <c r="BH164" s="70">
        <f t="shared" si="113"/>
        <v>0</v>
      </c>
      <c r="BI164" s="70">
        <f t="shared" si="114"/>
        <v>0</v>
      </c>
      <c r="BJ164" s="70">
        <f t="shared" si="115"/>
        <v>0</v>
      </c>
    </row>
    <row r="165" spans="1:62" ht="15">
      <c r="A165" s="589" t="s">
        <v>441</v>
      </c>
      <c r="B165" s="589" t="s">
        <v>1123</v>
      </c>
      <c r="C165" s="696" t="s">
        <v>1124</v>
      </c>
      <c r="D165" s="693"/>
      <c r="E165" s="693"/>
      <c r="F165" s="589" t="s">
        <v>253</v>
      </c>
      <c r="G165" s="70">
        <v>54.8</v>
      </c>
      <c r="H165" s="580">
        <v>0</v>
      </c>
      <c r="I165" s="70">
        <f t="shared" si="94"/>
        <v>0</v>
      </c>
      <c r="J165" s="70">
        <f t="shared" si="95"/>
        <v>0</v>
      </c>
      <c r="K165" s="70">
        <f t="shared" si="96"/>
        <v>0</v>
      </c>
      <c r="L165" s="71" t="s">
        <v>110</v>
      </c>
      <c r="Z165" s="70">
        <f t="shared" si="97"/>
        <v>0</v>
      </c>
      <c r="AB165" s="70">
        <f t="shared" si="98"/>
        <v>0</v>
      </c>
      <c r="AC165" s="70">
        <f t="shared" si="99"/>
        <v>0</v>
      </c>
      <c r="AD165" s="70">
        <f t="shared" si="100"/>
        <v>0</v>
      </c>
      <c r="AE165" s="70">
        <f t="shared" si="101"/>
        <v>0</v>
      </c>
      <c r="AF165" s="70">
        <f t="shared" si="102"/>
        <v>0</v>
      </c>
      <c r="AG165" s="70">
        <f t="shared" si="103"/>
        <v>0</v>
      </c>
      <c r="AH165" s="70">
        <f t="shared" si="104"/>
        <v>0</v>
      </c>
      <c r="AI165" s="67" t="s">
        <v>205</v>
      </c>
      <c r="AJ165" s="70">
        <f t="shared" si="105"/>
        <v>0</v>
      </c>
      <c r="AK165" s="70">
        <f t="shared" si="106"/>
        <v>0</v>
      </c>
      <c r="AL165" s="70">
        <f t="shared" si="107"/>
        <v>0</v>
      </c>
      <c r="AN165" s="70">
        <v>21</v>
      </c>
      <c r="AO165" s="70">
        <f>H165*0.311111111111111</f>
        <v>0</v>
      </c>
      <c r="AP165" s="70">
        <f>H165*(1-0.311111111111111)</f>
        <v>0</v>
      </c>
      <c r="AQ165" s="71" t="s">
        <v>106</v>
      </c>
      <c r="AV165" s="70">
        <f t="shared" si="108"/>
        <v>0</v>
      </c>
      <c r="AW165" s="70">
        <f t="shared" si="109"/>
        <v>0</v>
      </c>
      <c r="AX165" s="70">
        <f t="shared" si="110"/>
        <v>0</v>
      </c>
      <c r="AY165" s="71" t="s">
        <v>439</v>
      </c>
      <c r="AZ165" s="71" t="s">
        <v>210</v>
      </c>
      <c r="BA165" s="67" t="s">
        <v>211</v>
      </c>
      <c r="BC165" s="70">
        <f t="shared" si="111"/>
        <v>0</v>
      </c>
      <c r="BD165" s="70">
        <f t="shared" si="112"/>
        <v>0</v>
      </c>
      <c r="BE165" s="70">
        <v>0</v>
      </c>
      <c r="BF165" s="70">
        <f>165</f>
        <v>165</v>
      </c>
      <c r="BH165" s="70">
        <f t="shared" si="113"/>
        <v>0</v>
      </c>
      <c r="BI165" s="70">
        <f t="shared" si="114"/>
        <v>0</v>
      </c>
      <c r="BJ165" s="70">
        <f t="shared" si="115"/>
        <v>0</v>
      </c>
    </row>
    <row r="166" spans="1:62" ht="15">
      <c r="A166" s="589" t="s">
        <v>444</v>
      </c>
      <c r="B166" s="589" t="s">
        <v>994</v>
      </c>
      <c r="C166" s="696" t="s">
        <v>1125</v>
      </c>
      <c r="D166" s="693"/>
      <c r="E166" s="693"/>
      <c r="F166" s="589" t="s">
        <v>253</v>
      </c>
      <c r="G166" s="70">
        <v>54.8</v>
      </c>
      <c r="H166" s="580">
        <v>0</v>
      </c>
      <c r="I166" s="70">
        <f t="shared" si="94"/>
        <v>0</v>
      </c>
      <c r="J166" s="70">
        <f t="shared" si="95"/>
        <v>0</v>
      </c>
      <c r="K166" s="70">
        <f t="shared" si="96"/>
        <v>0</v>
      </c>
      <c r="L166" s="71" t="s">
        <v>996</v>
      </c>
      <c r="Z166" s="70">
        <f t="shared" si="97"/>
        <v>0</v>
      </c>
      <c r="AB166" s="70">
        <f t="shared" si="98"/>
        <v>0</v>
      </c>
      <c r="AC166" s="70">
        <f t="shared" si="99"/>
        <v>0</v>
      </c>
      <c r="AD166" s="70">
        <f t="shared" si="100"/>
        <v>0</v>
      </c>
      <c r="AE166" s="70">
        <f t="shared" si="101"/>
        <v>0</v>
      </c>
      <c r="AF166" s="70">
        <f t="shared" si="102"/>
        <v>0</v>
      </c>
      <c r="AG166" s="70">
        <f t="shared" si="103"/>
        <v>0</v>
      </c>
      <c r="AH166" s="70">
        <f t="shared" si="104"/>
        <v>0</v>
      </c>
      <c r="AI166" s="67" t="s">
        <v>205</v>
      </c>
      <c r="AJ166" s="70">
        <f t="shared" si="105"/>
        <v>0</v>
      </c>
      <c r="AK166" s="70">
        <f t="shared" si="106"/>
        <v>0</v>
      </c>
      <c r="AL166" s="70">
        <f t="shared" si="107"/>
        <v>0</v>
      </c>
      <c r="AN166" s="70">
        <v>21</v>
      </c>
      <c r="AO166" s="70">
        <f>H166*0</f>
        <v>0</v>
      </c>
      <c r="AP166" s="70">
        <f>H166*(1-0)</f>
        <v>0</v>
      </c>
      <c r="AQ166" s="71" t="s">
        <v>106</v>
      </c>
      <c r="AV166" s="70">
        <f t="shared" si="108"/>
        <v>0</v>
      </c>
      <c r="AW166" s="70">
        <f t="shared" si="109"/>
        <v>0</v>
      </c>
      <c r="AX166" s="70">
        <f t="shared" si="110"/>
        <v>0</v>
      </c>
      <c r="AY166" s="71" t="s">
        <v>439</v>
      </c>
      <c r="AZ166" s="71" t="s">
        <v>210</v>
      </c>
      <c r="BA166" s="67" t="s">
        <v>211</v>
      </c>
      <c r="BC166" s="70">
        <f t="shared" si="111"/>
        <v>0</v>
      </c>
      <c r="BD166" s="70">
        <f t="shared" si="112"/>
        <v>0</v>
      </c>
      <c r="BE166" s="70">
        <v>0</v>
      </c>
      <c r="BF166" s="70">
        <f>166</f>
        <v>166</v>
      </c>
      <c r="BH166" s="70">
        <f t="shared" si="113"/>
        <v>0</v>
      </c>
      <c r="BI166" s="70">
        <f t="shared" si="114"/>
        <v>0</v>
      </c>
      <c r="BJ166" s="70">
        <f t="shared" si="115"/>
        <v>0</v>
      </c>
    </row>
    <row r="167" spans="1:47" ht="15">
      <c r="A167" s="88"/>
      <c r="B167" s="591" t="s">
        <v>345</v>
      </c>
      <c r="C167" s="710" t="s">
        <v>346</v>
      </c>
      <c r="D167" s="711"/>
      <c r="E167" s="711"/>
      <c r="F167" s="88" t="s">
        <v>70</v>
      </c>
      <c r="G167" s="88" t="s">
        <v>70</v>
      </c>
      <c r="H167" s="624" t="s">
        <v>70</v>
      </c>
      <c r="I167" s="90">
        <f>SUM(I168:I168)</f>
        <v>0</v>
      </c>
      <c r="J167" s="90">
        <f>SUM(J168:J168)</f>
        <v>0</v>
      </c>
      <c r="K167" s="90">
        <f>SUM(K168:K168)</f>
        <v>0</v>
      </c>
      <c r="L167" s="91"/>
      <c r="AI167" s="67" t="s">
        <v>205</v>
      </c>
      <c r="AS167" s="68">
        <f>SUM(AJ168:AJ168)</f>
        <v>0</v>
      </c>
      <c r="AT167" s="68">
        <f>SUM(AK168:AK168)</f>
        <v>0</v>
      </c>
      <c r="AU167" s="68">
        <f>SUM(AL168:AL168)</f>
        <v>0</v>
      </c>
    </row>
    <row r="168" spans="1:62" ht="15">
      <c r="A168" s="589" t="s">
        <v>446</v>
      </c>
      <c r="B168" s="589" t="s">
        <v>684</v>
      </c>
      <c r="C168" s="696" t="s">
        <v>685</v>
      </c>
      <c r="D168" s="693"/>
      <c r="E168" s="693"/>
      <c r="F168" s="589" t="s">
        <v>132</v>
      </c>
      <c r="G168" s="70">
        <v>0.15</v>
      </c>
      <c r="H168" s="580">
        <v>0</v>
      </c>
      <c r="I168" s="70">
        <f>G168*AO168</f>
        <v>0</v>
      </c>
      <c r="J168" s="70">
        <f>G168*AP168</f>
        <v>0</v>
      </c>
      <c r="K168" s="70">
        <f>G168*H168</f>
        <v>0</v>
      </c>
      <c r="L168" s="71" t="s">
        <v>120</v>
      </c>
      <c r="Z168" s="70">
        <f>IF(AQ168="5",BJ168,0)</f>
        <v>0</v>
      </c>
      <c r="AB168" s="70">
        <f>IF(AQ168="1",BH168,0)</f>
        <v>0</v>
      </c>
      <c r="AC168" s="70">
        <f>IF(AQ168="1",BI168,0)</f>
        <v>0</v>
      </c>
      <c r="AD168" s="70">
        <f>IF(AQ168="7",BH168,0)</f>
        <v>0</v>
      </c>
      <c r="AE168" s="70">
        <f>IF(AQ168="7",BI168,0)</f>
        <v>0</v>
      </c>
      <c r="AF168" s="70">
        <f>IF(AQ168="2",BH168,0)</f>
        <v>0</v>
      </c>
      <c r="AG168" s="70">
        <f>IF(AQ168="2",BI168,0)</f>
        <v>0</v>
      </c>
      <c r="AH168" s="70">
        <f>IF(AQ168="0",BJ168,0)</f>
        <v>0</v>
      </c>
      <c r="AI168" s="67" t="s">
        <v>205</v>
      </c>
      <c r="AJ168" s="70">
        <f>IF(AN168=0,K168,0)</f>
        <v>0</v>
      </c>
      <c r="AK168" s="70">
        <f>IF(AN168=15,K168,0)</f>
        <v>0</v>
      </c>
      <c r="AL168" s="70">
        <f>IF(AN168=21,K168,0)</f>
        <v>0</v>
      </c>
      <c r="AN168" s="70">
        <v>21</v>
      </c>
      <c r="AO168" s="70">
        <f>H168*0</f>
        <v>0</v>
      </c>
      <c r="AP168" s="70">
        <f>H168*(1-0)</f>
        <v>0</v>
      </c>
      <c r="AQ168" s="71" t="s">
        <v>124</v>
      </c>
      <c r="AV168" s="70">
        <f>AW168+AX168</f>
        <v>0</v>
      </c>
      <c r="AW168" s="70">
        <f>G168*AO168</f>
        <v>0</v>
      </c>
      <c r="AX168" s="70">
        <f>G168*AP168</f>
        <v>0</v>
      </c>
      <c r="AY168" s="71" t="s">
        <v>350</v>
      </c>
      <c r="AZ168" s="71" t="s">
        <v>216</v>
      </c>
      <c r="BA168" s="67" t="s">
        <v>211</v>
      </c>
      <c r="BC168" s="70">
        <f>AW168+AX168</f>
        <v>0</v>
      </c>
      <c r="BD168" s="70">
        <f>H168/(100-BE168)*100</f>
        <v>0</v>
      </c>
      <c r="BE168" s="70">
        <v>0</v>
      </c>
      <c r="BF168" s="70">
        <f>168</f>
        <v>168</v>
      </c>
      <c r="BH168" s="70">
        <f>G168*AO168</f>
        <v>0</v>
      </c>
      <c r="BI168" s="70">
        <f>G168*AP168</f>
        <v>0</v>
      </c>
      <c r="BJ168" s="70">
        <f>G168*H168</f>
        <v>0</v>
      </c>
    </row>
    <row r="169" spans="1:47" ht="15">
      <c r="A169" s="88"/>
      <c r="B169" s="591"/>
      <c r="C169" s="710" t="s">
        <v>52</v>
      </c>
      <c r="D169" s="711"/>
      <c r="E169" s="711"/>
      <c r="F169" s="88" t="s">
        <v>70</v>
      </c>
      <c r="G169" s="88" t="s">
        <v>70</v>
      </c>
      <c r="H169" s="624" t="s">
        <v>70</v>
      </c>
      <c r="I169" s="90">
        <f>SUM(I170:I173)</f>
        <v>0</v>
      </c>
      <c r="J169" s="90">
        <f>SUM(J170:J173)</f>
        <v>0</v>
      </c>
      <c r="K169" s="90">
        <f>SUM(K170:K173)</f>
        <v>0</v>
      </c>
      <c r="L169" s="91"/>
      <c r="AI169" s="67" t="s">
        <v>205</v>
      </c>
      <c r="AS169" s="68">
        <f>SUM(AJ170:AJ173)</f>
        <v>0</v>
      </c>
      <c r="AT169" s="68">
        <f>SUM(AK170:AK173)</f>
        <v>0</v>
      </c>
      <c r="AU169" s="68">
        <f>SUM(AL170:AL173)</f>
        <v>0</v>
      </c>
    </row>
    <row r="170" spans="1:62" ht="15">
      <c r="A170" s="589" t="s">
        <v>448</v>
      </c>
      <c r="B170" s="589" t="s">
        <v>1138</v>
      </c>
      <c r="C170" s="696" t="s">
        <v>1139</v>
      </c>
      <c r="D170" s="693"/>
      <c r="E170" s="693"/>
      <c r="F170" s="589" t="s">
        <v>407</v>
      </c>
      <c r="G170" s="70">
        <v>68</v>
      </c>
      <c r="H170" s="580">
        <v>0</v>
      </c>
      <c r="I170" s="70">
        <f>G170*AO170</f>
        <v>0</v>
      </c>
      <c r="J170" s="70">
        <f>G170*AP170</f>
        <v>0</v>
      </c>
      <c r="K170" s="70">
        <f>G170*H170</f>
        <v>0</v>
      </c>
      <c r="L170" s="71"/>
      <c r="Z170" s="70">
        <f>IF(AQ170="5",BJ170,0)</f>
        <v>0</v>
      </c>
      <c r="AB170" s="70">
        <f>IF(AQ170="1",BH170,0)</f>
        <v>0</v>
      </c>
      <c r="AC170" s="70">
        <f>IF(AQ170="1",BI170,0)</f>
        <v>0</v>
      </c>
      <c r="AD170" s="70">
        <f>IF(AQ170="7",BH170,0)</f>
        <v>0</v>
      </c>
      <c r="AE170" s="70">
        <f>IF(AQ170="7",BI170,0)</f>
        <v>0</v>
      </c>
      <c r="AF170" s="70">
        <f>IF(AQ170="2",BH170,0)</f>
        <v>0</v>
      </c>
      <c r="AG170" s="70">
        <f>IF(AQ170="2",BI170,0)</f>
        <v>0</v>
      </c>
      <c r="AH170" s="70">
        <f>IF(AQ170="0",BJ170,0)</f>
        <v>0</v>
      </c>
      <c r="AI170" s="67" t="s">
        <v>205</v>
      </c>
      <c r="AJ170" s="70">
        <f>IF(AN170=0,K170,0)</f>
        <v>0</v>
      </c>
      <c r="AK170" s="70">
        <f>IF(AN170=15,K170,0)</f>
        <v>0</v>
      </c>
      <c r="AL170" s="70">
        <f>IF(AN170=21,K170,0)</f>
        <v>0</v>
      </c>
      <c r="AN170" s="70">
        <v>21</v>
      </c>
      <c r="AO170" s="70">
        <f>H170*1</f>
        <v>0</v>
      </c>
      <c r="AP170" s="70">
        <f>H170*(1-1)</f>
        <v>0</v>
      </c>
      <c r="AQ170" s="71" t="s">
        <v>355</v>
      </c>
      <c r="AV170" s="70">
        <f>AW170+AX170</f>
        <v>0</v>
      </c>
      <c r="AW170" s="70">
        <f>G170*AO170</f>
        <v>0</v>
      </c>
      <c r="AX170" s="70">
        <f>G170*AP170</f>
        <v>0</v>
      </c>
      <c r="AY170" s="71" t="s">
        <v>356</v>
      </c>
      <c r="AZ170" s="71" t="s">
        <v>1140</v>
      </c>
      <c r="BA170" s="67" t="s">
        <v>211</v>
      </c>
      <c r="BC170" s="70">
        <f>AW170+AX170</f>
        <v>0</v>
      </c>
      <c r="BD170" s="70">
        <f>H170/(100-BE170)*100</f>
        <v>0</v>
      </c>
      <c r="BE170" s="70">
        <v>0</v>
      </c>
      <c r="BF170" s="70">
        <f>170</f>
        <v>170</v>
      </c>
      <c r="BH170" s="70">
        <f>G170*AO170</f>
        <v>0</v>
      </c>
      <c r="BI170" s="70">
        <f>G170*AP170</f>
        <v>0</v>
      </c>
      <c r="BJ170" s="70">
        <f>G170*H170</f>
        <v>0</v>
      </c>
    </row>
    <row r="171" spans="1:62" ht="15">
      <c r="A171" s="589" t="s">
        <v>450</v>
      </c>
      <c r="B171" s="589" t="s">
        <v>1069</v>
      </c>
      <c r="C171" s="696" t="s">
        <v>1070</v>
      </c>
      <c r="D171" s="693"/>
      <c r="E171" s="693"/>
      <c r="F171" s="589" t="s">
        <v>1071</v>
      </c>
      <c r="G171" s="70">
        <v>1.4</v>
      </c>
      <c r="H171" s="580">
        <v>0</v>
      </c>
      <c r="I171" s="70">
        <f>G171*AO171</f>
        <v>0</v>
      </c>
      <c r="J171" s="70">
        <f>G171*AP171</f>
        <v>0</v>
      </c>
      <c r="K171" s="70">
        <f>G171*H171</f>
        <v>0</v>
      </c>
      <c r="L171" s="71"/>
      <c r="Z171" s="70">
        <f>IF(AQ171="5",BJ171,0)</f>
        <v>0</v>
      </c>
      <c r="AB171" s="70">
        <f>IF(AQ171="1",BH171,0)</f>
        <v>0</v>
      </c>
      <c r="AC171" s="70">
        <f>IF(AQ171="1",BI171,0)</f>
        <v>0</v>
      </c>
      <c r="AD171" s="70">
        <f>IF(AQ171="7",BH171,0)</f>
        <v>0</v>
      </c>
      <c r="AE171" s="70">
        <f>IF(AQ171="7",BI171,0)</f>
        <v>0</v>
      </c>
      <c r="AF171" s="70">
        <f>IF(AQ171="2",BH171,0)</f>
        <v>0</v>
      </c>
      <c r="AG171" s="70">
        <f>IF(AQ171="2",BI171,0)</f>
        <v>0</v>
      </c>
      <c r="AH171" s="70">
        <f>IF(AQ171="0",BJ171,0)</f>
        <v>0</v>
      </c>
      <c r="AI171" s="67" t="s">
        <v>205</v>
      </c>
      <c r="AJ171" s="70">
        <f>IF(AN171=0,K171,0)</f>
        <v>0</v>
      </c>
      <c r="AK171" s="70">
        <f>IF(AN171=15,K171,0)</f>
        <v>0</v>
      </c>
      <c r="AL171" s="70">
        <f>IF(AN171=21,K171,0)</f>
        <v>0</v>
      </c>
      <c r="AN171" s="70">
        <v>21</v>
      </c>
      <c r="AO171" s="70">
        <f>H171*1</f>
        <v>0</v>
      </c>
      <c r="AP171" s="70">
        <f>H171*(1-1)</f>
        <v>0</v>
      </c>
      <c r="AQ171" s="71" t="s">
        <v>355</v>
      </c>
      <c r="AV171" s="70">
        <f>AW171+AX171</f>
        <v>0</v>
      </c>
      <c r="AW171" s="70">
        <f>G171*AO171</f>
        <v>0</v>
      </c>
      <c r="AX171" s="70">
        <f>G171*AP171</f>
        <v>0</v>
      </c>
      <c r="AY171" s="71" t="s">
        <v>356</v>
      </c>
      <c r="AZ171" s="71" t="s">
        <v>1140</v>
      </c>
      <c r="BA171" s="67" t="s">
        <v>211</v>
      </c>
      <c r="BC171" s="70">
        <f>AW171+AX171</f>
        <v>0</v>
      </c>
      <c r="BD171" s="70">
        <f>H171/(100-BE171)*100</f>
        <v>0</v>
      </c>
      <c r="BE171" s="70">
        <v>0</v>
      </c>
      <c r="BF171" s="70">
        <f>171</f>
        <v>171</v>
      </c>
      <c r="BH171" s="70">
        <f>G171*AO171</f>
        <v>0</v>
      </c>
      <c r="BI171" s="70">
        <f>G171*AP171</f>
        <v>0</v>
      </c>
      <c r="BJ171" s="70">
        <f>G171*H171</f>
        <v>0</v>
      </c>
    </row>
    <row r="172" spans="1:62" ht="15">
      <c r="A172" s="589" t="s">
        <v>455</v>
      </c>
      <c r="B172" s="589" t="s">
        <v>1141</v>
      </c>
      <c r="C172" s="696" t="s">
        <v>1142</v>
      </c>
      <c r="D172" s="693"/>
      <c r="E172" s="693"/>
      <c r="F172" s="589" t="s">
        <v>407</v>
      </c>
      <c r="G172" s="70">
        <v>82</v>
      </c>
      <c r="H172" s="580">
        <v>0</v>
      </c>
      <c r="I172" s="70">
        <f>G172*AO172</f>
        <v>0</v>
      </c>
      <c r="J172" s="70">
        <f>G172*AP172</f>
        <v>0</v>
      </c>
      <c r="K172" s="70">
        <f>G172*H172</f>
        <v>0</v>
      </c>
      <c r="L172" s="71"/>
      <c r="Z172" s="70">
        <f>IF(AQ172="5",BJ172,0)</f>
        <v>0</v>
      </c>
      <c r="AB172" s="70">
        <f>IF(AQ172="1",BH172,0)</f>
        <v>0</v>
      </c>
      <c r="AC172" s="70">
        <f>IF(AQ172="1",BI172,0)</f>
        <v>0</v>
      </c>
      <c r="AD172" s="70">
        <f>IF(AQ172="7",BH172,0)</f>
        <v>0</v>
      </c>
      <c r="AE172" s="70">
        <f>IF(AQ172="7",BI172,0)</f>
        <v>0</v>
      </c>
      <c r="AF172" s="70">
        <f>IF(AQ172="2",BH172,0)</f>
        <v>0</v>
      </c>
      <c r="AG172" s="70">
        <f>IF(AQ172="2",BI172,0)</f>
        <v>0</v>
      </c>
      <c r="AH172" s="70">
        <f>IF(AQ172="0",BJ172,0)</f>
        <v>0</v>
      </c>
      <c r="AI172" s="67" t="s">
        <v>205</v>
      </c>
      <c r="AJ172" s="70">
        <f>IF(AN172=0,K172,0)</f>
        <v>0</v>
      </c>
      <c r="AK172" s="70">
        <f>IF(AN172=15,K172,0)</f>
        <v>0</v>
      </c>
      <c r="AL172" s="70">
        <f>IF(AN172=21,K172,0)</f>
        <v>0</v>
      </c>
      <c r="AN172" s="70">
        <v>21</v>
      </c>
      <c r="AO172" s="70">
        <f>H172*1</f>
        <v>0</v>
      </c>
      <c r="AP172" s="70">
        <f>H172*(1-1)</f>
        <v>0</v>
      </c>
      <c r="AQ172" s="71" t="s">
        <v>355</v>
      </c>
      <c r="AV172" s="70">
        <f>AW172+AX172</f>
        <v>0</v>
      </c>
      <c r="AW172" s="70">
        <f>G172*AO172</f>
        <v>0</v>
      </c>
      <c r="AX172" s="70">
        <f>G172*AP172</f>
        <v>0</v>
      </c>
      <c r="AY172" s="71" t="s">
        <v>356</v>
      </c>
      <c r="AZ172" s="71" t="s">
        <v>1140</v>
      </c>
      <c r="BA172" s="67" t="s">
        <v>211</v>
      </c>
      <c r="BC172" s="70">
        <f>AW172+AX172</f>
        <v>0</v>
      </c>
      <c r="BD172" s="70">
        <f>H172/(100-BE172)*100</f>
        <v>0</v>
      </c>
      <c r="BE172" s="70">
        <v>0</v>
      </c>
      <c r="BF172" s="70">
        <f>172</f>
        <v>172</v>
      </c>
      <c r="BH172" s="70">
        <f>G172*AO172</f>
        <v>0</v>
      </c>
      <c r="BI172" s="70">
        <f>G172*AP172</f>
        <v>0</v>
      </c>
      <c r="BJ172" s="70">
        <f>G172*H172</f>
        <v>0</v>
      </c>
    </row>
    <row r="173" spans="1:62" ht="15">
      <c r="A173" s="589" t="s">
        <v>458</v>
      </c>
      <c r="B173" s="589" t="s">
        <v>1014</v>
      </c>
      <c r="C173" s="696" t="s">
        <v>1120</v>
      </c>
      <c r="D173" s="693"/>
      <c r="E173" s="693"/>
      <c r="F173" s="589" t="s">
        <v>253</v>
      </c>
      <c r="G173" s="70">
        <v>54.8</v>
      </c>
      <c r="H173" s="580">
        <v>0</v>
      </c>
      <c r="I173" s="70">
        <f>G173*AO173</f>
        <v>0</v>
      </c>
      <c r="J173" s="70">
        <f>G173*AP173</f>
        <v>0</v>
      </c>
      <c r="K173" s="70">
        <f>G173*H173</f>
        <v>0</v>
      </c>
      <c r="L173" s="71" t="s">
        <v>120</v>
      </c>
      <c r="Z173" s="70">
        <f>IF(AQ173="5",BJ173,0)</f>
        <v>0</v>
      </c>
      <c r="AB173" s="70">
        <f>IF(AQ173="1",BH173,0)</f>
        <v>0</v>
      </c>
      <c r="AC173" s="70">
        <f>IF(AQ173="1",BI173,0)</f>
        <v>0</v>
      </c>
      <c r="AD173" s="70">
        <f>IF(AQ173="7",BH173,0)</f>
        <v>0</v>
      </c>
      <c r="AE173" s="70">
        <f>IF(AQ173="7",BI173,0)</f>
        <v>0</v>
      </c>
      <c r="AF173" s="70">
        <f>IF(AQ173="2",BH173,0)</f>
        <v>0</v>
      </c>
      <c r="AG173" s="70">
        <f>IF(AQ173="2",BI173,0)</f>
        <v>0</v>
      </c>
      <c r="AH173" s="70">
        <f>IF(AQ173="0",BJ173,0)</f>
        <v>0</v>
      </c>
      <c r="AI173" s="67" t="s">
        <v>205</v>
      </c>
      <c r="AJ173" s="70">
        <f>IF(AN173=0,K173,0)</f>
        <v>0</v>
      </c>
      <c r="AK173" s="70">
        <f>IF(AN173=15,K173,0)</f>
        <v>0</v>
      </c>
      <c r="AL173" s="70">
        <f>IF(AN173=21,K173,0)</f>
        <v>0</v>
      </c>
      <c r="AN173" s="70">
        <v>21</v>
      </c>
      <c r="AO173" s="70">
        <f>H173*1</f>
        <v>0</v>
      </c>
      <c r="AP173" s="70">
        <f>H173*(1-1)</f>
        <v>0</v>
      </c>
      <c r="AQ173" s="71" t="s">
        <v>355</v>
      </c>
      <c r="AV173" s="70">
        <f>AW173+AX173</f>
        <v>0</v>
      </c>
      <c r="AW173" s="70">
        <f>G173*AO173</f>
        <v>0</v>
      </c>
      <c r="AX173" s="70">
        <f>G173*AP173</f>
        <v>0</v>
      </c>
      <c r="AY173" s="71" t="s">
        <v>356</v>
      </c>
      <c r="AZ173" s="71" t="s">
        <v>1140</v>
      </c>
      <c r="BA173" s="67" t="s">
        <v>211</v>
      </c>
      <c r="BC173" s="70">
        <f>AW173+AX173</f>
        <v>0</v>
      </c>
      <c r="BD173" s="70">
        <f>H173/(100-BE173)*100</f>
        <v>0</v>
      </c>
      <c r="BE173" s="70">
        <v>0</v>
      </c>
      <c r="BF173" s="70">
        <f>173</f>
        <v>173</v>
      </c>
      <c r="BH173" s="70">
        <f>G173*AO173</f>
        <v>0</v>
      </c>
      <c r="BI173" s="70">
        <f>G173*AP173</f>
        <v>0</v>
      </c>
      <c r="BJ173" s="70">
        <f>G173*H173</f>
        <v>0</v>
      </c>
    </row>
    <row r="174" spans="1:12" ht="15">
      <c r="A174" s="48"/>
      <c r="B174" s="590"/>
      <c r="C174" s="727" t="s">
        <v>1143</v>
      </c>
      <c r="D174" s="728"/>
      <c r="E174" s="728"/>
      <c r="F174" s="48" t="s">
        <v>70</v>
      </c>
      <c r="G174" s="48" t="s">
        <v>70</v>
      </c>
      <c r="H174" s="625" t="s">
        <v>70</v>
      </c>
      <c r="I174" s="50">
        <f>I175+I180+I182</f>
        <v>0</v>
      </c>
      <c r="J174" s="50">
        <f>J175+J180+J182</f>
        <v>0</v>
      </c>
      <c r="K174" s="50">
        <f>K175+K180+K182</f>
        <v>0</v>
      </c>
      <c r="L174" s="51"/>
    </row>
    <row r="175" spans="1:47" ht="15">
      <c r="A175" s="88"/>
      <c r="B175" s="591" t="s">
        <v>177</v>
      </c>
      <c r="C175" s="710" t="s">
        <v>975</v>
      </c>
      <c r="D175" s="711"/>
      <c r="E175" s="711"/>
      <c r="F175" s="88" t="s">
        <v>70</v>
      </c>
      <c r="G175" s="88" t="s">
        <v>70</v>
      </c>
      <c r="H175" s="624" t="s">
        <v>70</v>
      </c>
      <c r="I175" s="90">
        <f>SUM(I176:I179)</f>
        <v>0</v>
      </c>
      <c r="J175" s="90">
        <f>SUM(J176:J179)</f>
        <v>0</v>
      </c>
      <c r="K175" s="90">
        <f>SUM(K176:K179)</f>
        <v>0</v>
      </c>
      <c r="L175" s="91"/>
      <c r="AI175" s="67" t="s">
        <v>234</v>
      </c>
      <c r="AS175" s="68">
        <f>SUM(AJ176:AJ179)</f>
        <v>0</v>
      </c>
      <c r="AT175" s="68">
        <f>SUM(AK176:AK179)</f>
        <v>0</v>
      </c>
      <c r="AU175" s="68">
        <f>SUM(AL176:AL179)</f>
        <v>0</v>
      </c>
    </row>
    <row r="176" spans="1:62" ht="15">
      <c r="A176" s="589" t="s">
        <v>463</v>
      </c>
      <c r="B176" s="589" t="s">
        <v>1144</v>
      </c>
      <c r="C176" s="696" t="s">
        <v>1145</v>
      </c>
      <c r="D176" s="693"/>
      <c r="E176" s="693"/>
      <c r="F176" s="589" t="s">
        <v>1146</v>
      </c>
      <c r="G176" s="70">
        <v>0.2</v>
      </c>
      <c r="H176" s="580">
        <v>0</v>
      </c>
      <c r="I176" s="70">
        <f>G176*AO176</f>
        <v>0</v>
      </c>
      <c r="J176" s="70">
        <f>G176*AP176</f>
        <v>0</v>
      </c>
      <c r="K176" s="70">
        <f>G176*H176</f>
        <v>0</v>
      </c>
      <c r="L176" s="71" t="s">
        <v>120</v>
      </c>
      <c r="Z176" s="70">
        <f>IF(AQ176="5",BJ176,0)</f>
        <v>0</v>
      </c>
      <c r="AB176" s="70">
        <f>IF(AQ176="1",BH176,0)</f>
        <v>0</v>
      </c>
      <c r="AC176" s="70">
        <f>IF(AQ176="1",BI176,0)</f>
        <v>0</v>
      </c>
      <c r="AD176" s="70">
        <f>IF(AQ176="7",BH176,0)</f>
        <v>0</v>
      </c>
      <c r="AE176" s="70">
        <f>IF(AQ176="7",BI176,0)</f>
        <v>0</v>
      </c>
      <c r="AF176" s="70">
        <f>IF(AQ176="2",BH176,0)</f>
        <v>0</v>
      </c>
      <c r="AG176" s="70">
        <f>IF(AQ176="2",BI176,0)</f>
        <v>0</v>
      </c>
      <c r="AH176" s="70">
        <f>IF(AQ176="0",BJ176,0)</f>
        <v>0</v>
      </c>
      <c r="AI176" s="67" t="s">
        <v>234</v>
      </c>
      <c r="AJ176" s="70">
        <f>IF(AN176=0,K176,0)</f>
        <v>0</v>
      </c>
      <c r="AK176" s="70">
        <f>IF(AN176=15,K176,0)</f>
        <v>0</v>
      </c>
      <c r="AL176" s="70">
        <f>IF(AN176=21,K176,0)</f>
        <v>0</v>
      </c>
      <c r="AN176" s="70">
        <v>21</v>
      </c>
      <c r="AO176" s="70">
        <f>H176*0.21360138920009</f>
        <v>0</v>
      </c>
      <c r="AP176" s="70">
        <f>H176*(1-0.21360138920009)</f>
        <v>0</v>
      </c>
      <c r="AQ176" s="71" t="s">
        <v>106</v>
      </c>
      <c r="AV176" s="70">
        <f>AW176+AX176</f>
        <v>0</v>
      </c>
      <c r="AW176" s="70">
        <f>G176*AO176</f>
        <v>0</v>
      </c>
      <c r="AX176" s="70">
        <f>G176*AP176</f>
        <v>0</v>
      </c>
      <c r="AY176" s="71" t="s">
        <v>439</v>
      </c>
      <c r="AZ176" s="71" t="s">
        <v>238</v>
      </c>
      <c r="BA176" s="67" t="s">
        <v>239</v>
      </c>
      <c r="BC176" s="70">
        <f>AW176+AX176</f>
        <v>0</v>
      </c>
      <c r="BD176" s="70">
        <f>H176/(100-BE176)*100</f>
        <v>0</v>
      </c>
      <c r="BE176" s="70">
        <v>0</v>
      </c>
      <c r="BF176" s="70">
        <f>176</f>
        <v>176</v>
      </c>
      <c r="BH176" s="70">
        <f>G176*AO176</f>
        <v>0</v>
      </c>
      <c r="BI176" s="70">
        <f>G176*AP176</f>
        <v>0</v>
      </c>
      <c r="BJ176" s="70">
        <f>G176*H176</f>
        <v>0</v>
      </c>
    </row>
    <row r="177" spans="1:62" ht="15">
      <c r="A177" s="589" t="s">
        <v>466</v>
      </c>
      <c r="B177" s="589" t="s">
        <v>1147</v>
      </c>
      <c r="C177" s="696" t="s">
        <v>1148</v>
      </c>
      <c r="D177" s="693"/>
      <c r="E177" s="693"/>
      <c r="F177" s="589" t="s">
        <v>1146</v>
      </c>
      <c r="G177" s="70">
        <v>0.2</v>
      </c>
      <c r="H177" s="580">
        <v>0</v>
      </c>
      <c r="I177" s="70">
        <f>G177*AO177</f>
        <v>0</v>
      </c>
      <c r="J177" s="70">
        <f>G177*AP177</f>
        <v>0</v>
      </c>
      <c r="K177" s="70">
        <f>G177*H177</f>
        <v>0</v>
      </c>
      <c r="L177" s="71" t="s">
        <v>120</v>
      </c>
      <c r="Z177" s="70">
        <f>IF(AQ177="5",BJ177,0)</f>
        <v>0</v>
      </c>
      <c r="AB177" s="70">
        <f>IF(AQ177="1",BH177,0)</f>
        <v>0</v>
      </c>
      <c r="AC177" s="70">
        <f>IF(AQ177="1",BI177,0)</f>
        <v>0</v>
      </c>
      <c r="AD177" s="70">
        <f>IF(AQ177="7",BH177,0)</f>
        <v>0</v>
      </c>
      <c r="AE177" s="70">
        <f>IF(AQ177="7",BI177,0)</f>
        <v>0</v>
      </c>
      <c r="AF177" s="70">
        <f>IF(AQ177="2",BH177,0)</f>
        <v>0</v>
      </c>
      <c r="AG177" s="70">
        <f>IF(AQ177="2",BI177,0)</f>
        <v>0</v>
      </c>
      <c r="AH177" s="70">
        <f>IF(AQ177="0",BJ177,0)</f>
        <v>0</v>
      </c>
      <c r="AI177" s="67" t="s">
        <v>234</v>
      </c>
      <c r="AJ177" s="70">
        <f>IF(AN177=0,K177,0)</f>
        <v>0</v>
      </c>
      <c r="AK177" s="70">
        <f>IF(AN177=15,K177,0)</f>
        <v>0</v>
      </c>
      <c r="AL177" s="70">
        <f>IF(AN177=21,K177,0)</f>
        <v>0</v>
      </c>
      <c r="AN177" s="70">
        <v>21</v>
      </c>
      <c r="AO177" s="70">
        <f>H177*0</f>
        <v>0</v>
      </c>
      <c r="AP177" s="70">
        <f>H177*(1-0)</f>
        <v>0</v>
      </c>
      <c r="AQ177" s="71" t="s">
        <v>106</v>
      </c>
      <c r="AV177" s="70">
        <f>AW177+AX177</f>
        <v>0</v>
      </c>
      <c r="AW177" s="70">
        <f>G177*AO177</f>
        <v>0</v>
      </c>
      <c r="AX177" s="70">
        <f>G177*AP177</f>
        <v>0</v>
      </c>
      <c r="AY177" s="71" t="s">
        <v>439</v>
      </c>
      <c r="AZ177" s="71" t="s">
        <v>238</v>
      </c>
      <c r="BA177" s="67" t="s">
        <v>239</v>
      </c>
      <c r="BC177" s="70">
        <f>AW177+AX177</f>
        <v>0</v>
      </c>
      <c r="BD177" s="70">
        <f>H177/(100-BE177)*100</f>
        <v>0</v>
      </c>
      <c r="BE177" s="70">
        <v>0</v>
      </c>
      <c r="BF177" s="70">
        <f>177</f>
        <v>177</v>
      </c>
      <c r="BH177" s="70">
        <f>G177*AO177</f>
        <v>0</v>
      </c>
      <c r="BI177" s="70">
        <f>G177*AP177</f>
        <v>0</v>
      </c>
      <c r="BJ177" s="70">
        <f>G177*H177</f>
        <v>0</v>
      </c>
    </row>
    <row r="178" spans="1:62" ht="15">
      <c r="A178" s="589" t="s">
        <v>470</v>
      </c>
      <c r="B178" s="589" t="s">
        <v>1123</v>
      </c>
      <c r="C178" s="696" t="s">
        <v>1149</v>
      </c>
      <c r="D178" s="693"/>
      <c r="E178" s="693"/>
      <c r="F178" s="589" t="s">
        <v>253</v>
      </c>
      <c r="G178" s="70">
        <v>40</v>
      </c>
      <c r="H178" s="580">
        <v>0</v>
      </c>
      <c r="I178" s="70">
        <f>G178*AO178</f>
        <v>0</v>
      </c>
      <c r="J178" s="70">
        <f>G178*AP178</f>
        <v>0</v>
      </c>
      <c r="K178" s="70">
        <f>G178*H178</f>
        <v>0</v>
      </c>
      <c r="L178" s="71" t="s">
        <v>120</v>
      </c>
      <c r="Z178" s="70">
        <f>IF(AQ178="5",BJ178,0)</f>
        <v>0</v>
      </c>
      <c r="AB178" s="70">
        <f>IF(AQ178="1",BH178,0)</f>
        <v>0</v>
      </c>
      <c r="AC178" s="70">
        <f>IF(AQ178="1",BI178,0)</f>
        <v>0</v>
      </c>
      <c r="AD178" s="70">
        <f>IF(AQ178="7",BH178,0)</f>
        <v>0</v>
      </c>
      <c r="AE178" s="70">
        <f>IF(AQ178="7",BI178,0)</f>
        <v>0</v>
      </c>
      <c r="AF178" s="70">
        <f>IF(AQ178="2",BH178,0)</f>
        <v>0</v>
      </c>
      <c r="AG178" s="70">
        <f>IF(AQ178="2",BI178,0)</f>
        <v>0</v>
      </c>
      <c r="AH178" s="70">
        <f>IF(AQ178="0",BJ178,0)</f>
        <v>0</v>
      </c>
      <c r="AI178" s="67" t="s">
        <v>234</v>
      </c>
      <c r="AJ178" s="70">
        <f>IF(AN178=0,K178,0)</f>
        <v>0</v>
      </c>
      <c r="AK178" s="70">
        <f>IF(AN178=15,K178,0)</f>
        <v>0</v>
      </c>
      <c r="AL178" s="70">
        <f>IF(AN178=21,K178,0)</f>
        <v>0</v>
      </c>
      <c r="AN178" s="70">
        <v>21</v>
      </c>
      <c r="AO178" s="70">
        <f>H178*0.306</f>
        <v>0</v>
      </c>
      <c r="AP178" s="70">
        <f>H178*(1-0.306)</f>
        <v>0</v>
      </c>
      <c r="AQ178" s="71" t="s">
        <v>106</v>
      </c>
      <c r="AV178" s="70">
        <f>AW178+AX178</f>
        <v>0</v>
      </c>
      <c r="AW178" s="70">
        <f>G178*AO178</f>
        <v>0</v>
      </c>
      <c r="AX178" s="70">
        <f>G178*AP178</f>
        <v>0</v>
      </c>
      <c r="AY178" s="71" t="s">
        <v>439</v>
      </c>
      <c r="AZ178" s="71" t="s">
        <v>238</v>
      </c>
      <c r="BA178" s="67" t="s">
        <v>239</v>
      </c>
      <c r="BC178" s="70">
        <f>AW178+AX178</f>
        <v>0</v>
      </c>
      <c r="BD178" s="70">
        <f>H178/(100-BE178)*100</f>
        <v>0</v>
      </c>
      <c r="BE178" s="70">
        <v>0</v>
      </c>
      <c r="BF178" s="70">
        <f>178</f>
        <v>178</v>
      </c>
      <c r="BH178" s="70">
        <f>G178*AO178</f>
        <v>0</v>
      </c>
      <c r="BI178" s="70">
        <f>G178*AP178</f>
        <v>0</v>
      </c>
      <c r="BJ178" s="70">
        <f>G178*H178</f>
        <v>0</v>
      </c>
    </row>
    <row r="179" spans="1:62" ht="15">
      <c r="A179" s="589" t="s">
        <v>478</v>
      </c>
      <c r="B179" s="589" t="s">
        <v>994</v>
      </c>
      <c r="C179" s="696" t="s">
        <v>1125</v>
      </c>
      <c r="D179" s="693"/>
      <c r="E179" s="693"/>
      <c r="F179" s="589" t="s">
        <v>253</v>
      </c>
      <c r="G179" s="70">
        <v>40</v>
      </c>
      <c r="H179" s="580">
        <v>0</v>
      </c>
      <c r="I179" s="70">
        <f>G179*AO179</f>
        <v>0</v>
      </c>
      <c r="J179" s="70">
        <f>G179*AP179</f>
        <v>0</v>
      </c>
      <c r="K179" s="70">
        <f>G179*H179</f>
        <v>0</v>
      </c>
      <c r="L179" s="71" t="s">
        <v>996</v>
      </c>
      <c r="Z179" s="70">
        <f>IF(AQ179="5",BJ179,0)</f>
        <v>0</v>
      </c>
      <c r="AB179" s="70">
        <f>IF(AQ179="1",BH179,0)</f>
        <v>0</v>
      </c>
      <c r="AC179" s="70">
        <f>IF(AQ179="1",BI179,0)</f>
        <v>0</v>
      </c>
      <c r="AD179" s="70">
        <f>IF(AQ179="7",BH179,0)</f>
        <v>0</v>
      </c>
      <c r="AE179" s="70">
        <f>IF(AQ179="7",BI179,0)</f>
        <v>0</v>
      </c>
      <c r="AF179" s="70">
        <f>IF(AQ179="2",BH179,0)</f>
        <v>0</v>
      </c>
      <c r="AG179" s="70">
        <f>IF(AQ179="2",BI179,0)</f>
        <v>0</v>
      </c>
      <c r="AH179" s="70">
        <f>IF(AQ179="0",BJ179,0)</f>
        <v>0</v>
      </c>
      <c r="AI179" s="67" t="s">
        <v>234</v>
      </c>
      <c r="AJ179" s="70">
        <f>IF(AN179=0,K179,0)</f>
        <v>0</v>
      </c>
      <c r="AK179" s="70">
        <f>IF(AN179=15,K179,0)</f>
        <v>0</v>
      </c>
      <c r="AL179" s="70">
        <f>IF(AN179=21,K179,0)</f>
        <v>0</v>
      </c>
      <c r="AN179" s="70">
        <v>21</v>
      </c>
      <c r="AO179" s="70">
        <f>H179*0</f>
        <v>0</v>
      </c>
      <c r="AP179" s="70">
        <f>H179*(1-0)</f>
        <v>0</v>
      </c>
      <c r="AQ179" s="71" t="s">
        <v>106</v>
      </c>
      <c r="AV179" s="70">
        <f>AW179+AX179</f>
        <v>0</v>
      </c>
      <c r="AW179" s="70">
        <f>G179*AO179</f>
        <v>0</v>
      </c>
      <c r="AX179" s="70">
        <f>G179*AP179</f>
        <v>0</v>
      </c>
      <c r="AY179" s="71" t="s">
        <v>439</v>
      </c>
      <c r="AZ179" s="71" t="s">
        <v>238</v>
      </c>
      <c r="BA179" s="67" t="s">
        <v>239</v>
      </c>
      <c r="BC179" s="70">
        <f>AW179+AX179</f>
        <v>0</v>
      </c>
      <c r="BD179" s="70">
        <f>H179/(100-BE179)*100</f>
        <v>0</v>
      </c>
      <c r="BE179" s="70">
        <v>0</v>
      </c>
      <c r="BF179" s="70">
        <f>179</f>
        <v>179</v>
      </c>
      <c r="BH179" s="70">
        <f>G179*AO179</f>
        <v>0</v>
      </c>
      <c r="BI179" s="70">
        <f>G179*AP179</f>
        <v>0</v>
      </c>
      <c r="BJ179" s="70">
        <f>G179*H179</f>
        <v>0</v>
      </c>
    </row>
    <row r="180" spans="1:47" ht="15">
      <c r="A180" s="88"/>
      <c r="B180" s="591" t="s">
        <v>345</v>
      </c>
      <c r="C180" s="710" t="s">
        <v>346</v>
      </c>
      <c r="D180" s="711"/>
      <c r="E180" s="711"/>
      <c r="F180" s="88" t="s">
        <v>70</v>
      </c>
      <c r="G180" s="88" t="s">
        <v>70</v>
      </c>
      <c r="H180" s="624" t="s">
        <v>70</v>
      </c>
      <c r="I180" s="90">
        <f>SUM(I181:I181)</f>
        <v>0</v>
      </c>
      <c r="J180" s="90">
        <f>SUM(J181:J181)</f>
        <v>0</v>
      </c>
      <c r="K180" s="90">
        <f>SUM(K181:K181)</f>
        <v>0</v>
      </c>
      <c r="L180" s="91"/>
      <c r="AI180" s="67" t="s">
        <v>234</v>
      </c>
      <c r="AS180" s="68">
        <f>SUM(AJ181:AJ181)</f>
        <v>0</v>
      </c>
      <c r="AT180" s="68">
        <f>SUM(AK181:AK181)</f>
        <v>0</v>
      </c>
      <c r="AU180" s="68">
        <f>SUM(AL181:AL181)</f>
        <v>0</v>
      </c>
    </row>
    <row r="181" spans="1:62" ht="15">
      <c r="A181" s="589" t="s">
        <v>484</v>
      </c>
      <c r="B181" s="589" t="s">
        <v>684</v>
      </c>
      <c r="C181" s="696" t="s">
        <v>685</v>
      </c>
      <c r="D181" s="693"/>
      <c r="E181" s="693"/>
      <c r="F181" s="589" t="s">
        <v>132</v>
      </c>
      <c r="G181" s="70">
        <v>25.4</v>
      </c>
      <c r="H181" s="580">
        <v>0</v>
      </c>
      <c r="I181" s="70">
        <f>G181*AO181</f>
        <v>0</v>
      </c>
      <c r="J181" s="70">
        <f>G181*AP181</f>
        <v>0</v>
      </c>
      <c r="K181" s="70">
        <f>G181*H181</f>
        <v>0</v>
      </c>
      <c r="L181" s="71" t="s">
        <v>120</v>
      </c>
      <c r="Z181" s="70">
        <f>IF(AQ181="5",BJ181,0)</f>
        <v>0</v>
      </c>
      <c r="AB181" s="70">
        <f>IF(AQ181="1",BH181,0)</f>
        <v>0</v>
      </c>
      <c r="AC181" s="70">
        <f>IF(AQ181="1",BI181,0)</f>
        <v>0</v>
      </c>
      <c r="AD181" s="70">
        <f>IF(AQ181="7",BH181,0)</f>
        <v>0</v>
      </c>
      <c r="AE181" s="70">
        <f>IF(AQ181="7",BI181,0)</f>
        <v>0</v>
      </c>
      <c r="AF181" s="70">
        <f>IF(AQ181="2",BH181,0)</f>
        <v>0</v>
      </c>
      <c r="AG181" s="70">
        <f>IF(AQ181="2",BI181,0)</f>
        <v>0</v>
      </c>
      <c r="AH181" s="70">
        <f>IF(AQ181="0",BJ181,0)</f>
        <v>0</v>
      </c>
      <c r="AI181" s="67" t="s">
        <v>234</v>
      </c>
      <c r="AJ181" s="70">
        <f>IF(AN181=0,K181,0)</f>
        <v>0</v>
      </c>
      <c r="AK181" s="70">
        <f>IF(AN181=15,K181,0)</f>
        <v>0</v>
      </c>
      <c r="AL181" s="70">
        <f>IF(AN181=21,K181,0)</f>
        <v>0</v>
      </c>
      <c r="AN181" s="70">
        <v>21</v>
      </c>
      <c r="AO181" s="70">
        <f>H181*0</f>
        <v>0</v>
      </c>
      <c r="AP181" s="70">
        <f>H181*(1-0)</f>
        <v>0</v>
      </c>
      <c r="AQ181" s="71" t="s">
        <v>124</v>
      </c>
      <c r="AV181" s="70">
        <f>AW181+AX181</f>
        <v>0</v>
      </c>
      <c r="AW181" s="70">
        <f>G181*AO181</f>
        <v>0</v>
      </c>
      <c r="AX181" s="70">
        <f>G181*AP181</f>
        <v>0</v>
      </c>
      <c r="AY181" s="71" t="s">
        <v>350</v>
      </c>
      <c r="AZ181" s="71" t="s">
        <v>246</v>
      </c>
      <c r="BA181" s="67" t="s">
        <v>239</v>
      </c>
      <c r="BC181" s="70">
        <f>AW181+AX181</f>
        <v>0</v>
      </c>
      <c r="BD181" s="70">
        <f>H181/(100-BE181)*100</f>
        <v>0</v>
      </c>
      <c r="BE181" s="70">
        <v>0</v>
      </c>
      <c r="BF181" s="70">
        <f>181</f>
        <v>181</v>
      </c>
      <c r="BH181" s="70">
        <f>G181*AO181</f>
        <v>0</v>
      </c>
      <c r="BI181" s="70">
        <f>G181*AP181</f>
        <v>0</v>
      </c>
      <c r="BJ181" s="70">
        <f>G181*H181</f>
        <v>0</v>
      </c>
    </row>
    <row r="182" spans="1:47" ht="15">
      <c r="A182" s="88"/>
      <c r="B182" s="591"/>
      <c r="C182" s="710" t="s">
        <v>52</v>
      </c>
      <c r="D182" s="711"/>
      <c r="E182" s="711"/>
      <c r="F182" s="88" t="s">
        <v>70</v>
      </c>
      <c r="G182" s="88" t="s">
        <v>70</v>
      </c>
      <c r="H182" s="624" t="s">
        <v>70</v>
      </c>
      <c r="I182" s="90">
        <f>SUM(I183:I187)</f>
        <v>0</v>
      </c>
      <c r="J182" s="90">
        <f>SUM(J183:J187)</f>
        <v>0</v>
      </c>
      <c r="K182" s="90">
        <f>SUM(K183:K187)</f>
        <v>0</v>
      </c>
      <c r="L182" s="91"/>
      <c r="AI182" s="67" t="s">
        <v>234</v>
      </c>
      <c r="AS182" s="68">
        <f>SUM(AJ183:AJ187)</f>
        <v>0</v>
      </c>
      <c r="AT182" s="68">
        <f>SUM(AK183:AK187)</f>
        <v>0</v>
      </c>
      <c r="AU182" s="68">
        <f>SUM(AL183:AL187)</f>
        <v>0</v>
      </c>
    </row>
    <row r="183" spans="1:62" ht="15">
      <c r="A183" s="589" t="s">
        <v>488</v>
      </c>
      <c r="B183" s="589" t="s">
        <v>1138</v>
      </c>
      <c r="C183" s="696" t="s">
        <v>1150</v>
      </c>
      <c r="D183" s="693"/>
      <c r="E183" s="693"/>
      <c r="F183" s="589" t="s">
        <v>407</v>
      </c>
      <c r="G183" s="70">
        <v>30</v>
      </c>
      <c r="H183" s="580">
        <v>0</v>
      </c>
      <c r="I183" s="70">
        <f>G183*AO183</f>
        <v>0</v>
      </c>
      <c r="J183" s="70">
        <f>G183*AP183</f>
        <v>0</v>
      </c>
      <c r="K183" s="70">
        <f>G183*H183</f>
        <v>0</v>
      </c>
      <c r="L183" s="71"/>
      <c r="Z183" s="70">
        <f>IF(AQ183="5",BJ183,0)</f>
        <v>0</v>
      </c>
      <c r="AB183" s="70">
        <f>IF(AQ183="1",BH183,0)</f>
        <v>0</v>
      </c>
      <c r="AC183" s="70">
        <f>IF(AQ183="1",BI183,0)</f>
        <v>0</v>
      </c>
      <c r="AD183" s="70">
        <f>IF(AQ183="7",BH183,0)</f>
        <v>0</v>
      </c>
      <c r="AE183" s="70">
        <f>IF(AQ183="7",BI183,0)</f>
        <v>0</v>
      </c>
      <c r="AF183" s="70">
        <f>IF(AQ183="2",BH183,0)</f>
        <v>0</v>
      </c>
      <c r="AG183" s="70">
        <f>IF(AQ183="2",BI183,0)</f>
        <v>0</v>
      </c>
      <c r="AH183" s="70">
        <f>IF(AQ183="0",BJ183,0)</f>
        <v>0</v>
      </c>
      <c r="AI183" s="67" t="s">
        <v>234</v>
      </c>
      <c r="AJ183" s="70">
        <f>IF(AN183=0,K183,0)</f>
        <v>0</v>
      </c>
      <c r="AK183" s="70">
        <f>IF(AN183=15,K183,0)</f>
        <v>0</v>
      </c>
      <c r="AL183" s="70">
        <f>IF(AN183=21,K183,0)</f>
        <v>0</v>
      </c>
      <c r="AN183" s="70">
        <v>21</v>
      </c>
      <c r="AO183" s="70">
        <f>H183*1</f>
        <v>0</v>
      </c>
      <c r="AP183" s="70">
        <f>H183*(1-1)</f>
        <v>0</v>
      </c>
      <c r="AQ183" s="71" t="s">
        <v>355</v>
      </c>
      <c r="AV183" s="70">
        <f>AW183+AX183</f>
        <v>0</v>
      </c>
      <c r="AW183" s="70">
        <f>G183*AO183</f>
        <v>0</v>
      </c>
      <c r="AX183" s="70">
        <f>G183*AP183</f>
        <v>0</v>
      </c>
      <c r="AY183" s="71" t="s">
        <v>356</v>
      </c>
      <c r="AZ183" s="71" t="s">
        <v>1151</v>
      </c>
      <c r="BA183" s="67" t="s">
        <v>239</v>
      </c>
      <c r="BC183" s="70">
        <f>AW183+AX183</f>
        <v>0</v>
      </c>
      <c r="BD183" s="70">
        <f>H183/(100-BE183)*100</f>
        <v>0</v>
      </c>
      <c r="BE183" s="70">
        <v>0</v>
      </c>
      <c r="BF183" s="70">
        <f>183</f>
        <v>183</v>
      </c>
      <c r="BH183" s="70">
        <f>G183*AO183</f>
        <v>0</v>
      </c>
      <c r="BI183" s="70">
        <f>G183*AP183</f>
        <v>0</v>
      </c>
      <c r="BJ183" s="70">
        <f>G183*H183</f>
        <v>0</v>
      </c>
    </row>
    <row r="184" spans="1:62" ht="15">
      <c r="A184" s="589" t="s">
        <v>493</v>
      </c>
      <c r="B184" s="589" t="s">
        <v>1014</v>
      </c>
      <c r="C184" s="696" t="s">
        <v>1120</v>
      </c>
      <c r="D184" s="693"/>
      <c r="E184" s="693"/>
      <c r="F184" s="589" t="s">
        <v>253</v>
      </c>
      <c r="G184" s="70">
        <v>40</v>
      </c>
      <c r="H184" s="580">
        <v>0</v>
      </c>
      <c r="I184" s="70">
        <f>G184*AO184</f>
        <v>0</v>
      </c>
      <c r="J184" s="70">
        <f>G184*AP184</f>
        <v>0</v>
      </c>
      <c r="K184" s="70">
        <f>G184*H184</f>
        <v>0</v>
      </c>
      <c r="L184" s="71" t="s">
        <v>120</v>
      </c>
      <c r="Z184" s="70">
        <f>IF(AQ184="5",BJ184,0)</f>
        <v>0</v>
      </c>
      <c r="AB184" s="70">
        <f>IF(AQ184="1",BH184,0)</f>
        <v>0</v>
      </c>
      <c r="AC184" s="70">
        <f>IF(AQ184="1",BI184,0)</f>
        <v>0</v>
      </c>
      <c r="AD184" s="70">
        <f>IF(AQ184="7",BH184,0)</f>
        <v>0</v>
      </c>
      <c r="AE184" s="70">
        <f>IF(AQ184="7",BI184,0)</f>
        <v>0</v>
      </c>
      <c r="AF184" s="70">
        <f>IF(AQ184="2",BH184,0)</f>
        <v>0</v>
      </c>
      <c r="AG184" s="70">
        <f>IF(AQ184="2",BI184,0)</f>
        <v>0</v>
      </c>
      <c r="AH184" s="70">
        <f>IF(AQ184="0",BJ184,0)</f>
        <v>0</v>
      </c>
      <c r="AI184" s="67" t="s">
        <v>234</v>
      </c>
      <c r="AJ184" s="70">
        <f>IF(AN184=0,K184,0)</f>
        <v>0</v>
      </c>
      <c r="AK184" s="70">
        <f>IF(AN184=15,K184,0)</f>
        <v>0</v>
      </c>
      <c r="AL184" s="70">
        <f>IF(AN184=21,K184,0)</f>
        <v>0</v>
      </c>
      <c r="AN184" s="70">
        <v>21</v>
      </c>
      <c r="AO184" s="70">
        <f>H184*1</f>
        <v>0</v>
      </c>
      <c r="AP184" s="70">
        <f>H184*(1-1)</f>
        <v>0</v>
      </c>
      <c r="AQ184" s="71" t="s">
        <v>355</v>
      </c>
      <c r="AV184" s="70">
        <f>AW184+AX184</f>
        <v>0</v>
      </c>
      <c r="AW184" s="70">
        <f>G184*AO184</f>
        <v>0</v>
      </c>
      <c r="AX184" s="70">
        <f>G184*AP184</f>
        <v>0</v>
      </c>
      <c r="AY184" s="71" t="s">
        <v>356</v>
      </c>
      <c r="AZ184" s="71" t="s">
        <v>1151</v>
      </c>
      <c r="BA184" s="67" t="s">
        <v>239</v>
      </c>
      <c r="BC184" s="70">
        <f>AW184+AX184</f>
        <v>0</v>
      </c>
      <c r="BD184" s="70">
        <f>H184/(100-BE184)*100</f>
        <v>0</v>
      </c>
      <c r="BE184" s="70">
        <v>0</v>
      </c>
      <c r="BF184" s="70">
        <f>184</f>
        <v>184</v>
      </c>
      <c r="BH184" s="70">
        <f>G184*AO184</f>
        <v>0</v>
      </c>
      <c r="BI184" s="70">
        <f>G184*AP184</f>
        <v>0</v>
      </c>
      <c r="BJ184" s="70">
        <f>G184*H184</f>
        <v>0</v>
      </c>
    </row>
    <row r="185" spans="1:62" ht="15">
      <c r="A185" s="589" t="s">
        <v>497</v>
      </c>
      <c r="B185" s="589" t="s">
        <v>1152</v>
      </c>
      <c r="C185" s="696" t="s">
        <v>1153</v>
      </c>
      <c r="D185" s="693"/>
      <c r="E185" s="693"/>
      <c r="F185" s="589" t="s">
        <v>407</v>
      </c>
      <c r="G185" s="70">
        <v>50</v>
      </c>
      <c r="H185" s="580">
        <v>0</v>
      </c>
      <c r="I185" s="70">
        <f>G185*AO185</f>
        <v>0</v>
      </c>
      <c r="J185" s="70">
        <f>G185*AP185</f>
        <v>0</v>
      </c>
      <c r="K185" s="70">
        <f>G185*H185</f>
        <v>0</v>
      </c>
      <c r="L185" s="71"/>
      <c r="Z185" s="70">
        <f>IF(AQ185="5",BJ185,0)</f>
        <v>0</v>
      </c>
      <c r="AB185" s="70">
        <f>IF(AQ185="1",BH185,0)</f>
        <v>0</v>
      </c>
      <c r="AC185" s="70">
        <f>IF(AQ185="1",BI185,0)</f>
        <v>0</v>
      </c>
      <c r="AD185" s="70">
        <f>IF(AQ185="7",BH185,0)</f>
        <v>0</v>
      </c>
      <c r="AE185" s="70">
        <f>IF(AQ185="7",BI185,0)</f>
        <v>0</v>
      </c>
      <c r="AF185" s="70">
        <f>IF(AQ185="2",BH185,0)</f>
        <v>0</v>
      </c>
      <c r="AG185" s="70">
        <f>IF(AQ185="2",BI185,0)</f>
        <v>0</v>
      </c>
      <c r="AH185" s="70">
        <f>IF(AQ185="0",BJ185,0)</f>
        <v>0</v>
      </c>
      <c r="AI185" s="67" t="s">
        <v>234</v>
      </c>
      <c r="AJ185" s="70">
        <f>IF(AN185=0,K185,0)</f>
        <v>0</v>
      </c>
      <c r="AK185" s="70">
        <f>IF(AN185=15,K185,0)</f>
        <v>0</v>
      </c>
      <c r="AL185" s="70">
        <f>IF(AN185=21,K185,0)</f>
        <v>0</v>
      </c>
      <c r="AN185" s="70">
        <v>21</v>
      </c>
      <c r="AO185" s="70">
        <f>H185*1</f>
        <v>0</v>
      </c>
      <c r="AP185" s="70">
        <f>H185*(1-1)</f>
        <v>0</v>
      </c>
      <c r="AQ185" s="71" t="s">
        <v>355</v>
      </c>
      <c r="AV185" s="70">
        <f>AW185+AX185</f>
        <v>0</v>
      </c>
      <c r="AW185" s="70">
        <f>G185*AO185</f>
        <v>0</v>
      </c>
      <c r="AX185" s="70">
        <f>G185*AP185</f>
        <v>0</v>
      </c>
      <c r="AY185" s="71" t="s">
        <v>356</v>
      </c>
      <c r="AZ185" s="71" t="s">
        <v>1151</v>
      </c>
      <c r="BA185" s="67" t="s">
        <v>239</v>
      </c>
      <c r="BC185" s="70">
        <f>AW185+AX185</f>
        <v>0</v>
      </c>
      <c r="BD185" s="70">
        <f>H185/(100-BE185)*100</f>
        <v>0</v>
      </c>
      <c r="BE185" s="70">
        <v>0</v>
      </c>
      <c r="BF185" s="70">
        <f>185</f>
        <v>185</v>
      </c>
      <c r="BH185" s="70">
        <f>G185*AO185</f>
        <v>0</v>
      </c>
      <c r="BI185" s="70">
        <f>G185*AP185</f>
        <v>0</v>
      </c>
      <c r="BJ185" s="70">
        <f>G185*H185</f>
        <v>0</v>
      </c>
    </row>
    <row r="186" spans="1:62" ht="15">
      <c r="A186" s="589" t="s">
        <v>498</v>
      </c>
      <c r="B186" s="589" t="s">
        <v>1154</v>
      </c>
      <c r="C186" s="696" t="s">
        <v>1155</v>
      </c>
      <c r="D186" s="693"/>
      <c r="E186" s="693"/>
      <c r="F186" s="589" t="s">
        <v>132</v>
      </c>
      <c r="G186" s="70">
        <v>18.7</v>
      </c>
      <c r="H186" s="580">
        <v>0</v>
      </c>
      <c r="I186" s="70">
        <f>G186*AO186</f>
        <v>0</v>
      </c>
      <c r="J186" s="70">
        <f>G186*AP186</f>
        <v>0</v>
      </c>
      <c r="K186" s="70">
        <f>G186*H186</f>
        <v>0</v>
      </c>
      <c r="L186" s="71" t="s">
        <v>120</v>
      </c>
      <c r="Z186" s="70">
        <f>IF(AQ186="5",BJ186,0)</f>
        <v>0</v>
      </c>
      <c r="AB186" s="70">
        <f>IF(AQ186="1",BH186,0)</f>
        <v>0</v>
      </c>
      <c r="AC186" s="70">
        <f>IF(AQ186="1",BI186,0)</f>
        <v>0</v>
      </c>
      <c r="AD186" s="70">
        <f>IF(AQ186="7",BH186,0)</f>
        <v>0</v>
      </c>
      <c r="AE186" s="70">
        <f>IF(AQ186="7",BI186,0)</f>
        <v>0</v>
      </c>
      <c r="AF186" s="70">
        <f>IF(AQ186="2",BH186,0)</f>
        <v>0</v>
      </c>
      <c r="AG186" s="70">
        <f>IF(AQ186="2",BI186,0)</f>
        <v>0</v>
      </c>
      <c r="AH186" s="70">
        <f>IF(AQ186="0",BJ186,0)</f>
        <v>0</v>
      </c>
      <c r="AI186" s="67" t="s">
        <v>234</v>
      </c>
      <c r="AJ186" s="70">
        <f>IF(AN186=0,K186,0)</f>
        <v>0</v>
      </c>
      <c r="AK186" s="70">
        <f>IF(AN186=15,K186,0)</f>
        <v>0</v>
      </c>
      <c r="AL186" s="70">
        <f>IF(AN186=21,K186,0)</f>
        <v>0</v>
      </c>
      <c r="AN186" s="70">
        <v>21</v>
      </c>
      <c r="AO186" s="70">
        <f>H186*1</f>
        <v>0</v>
      </c>
      <c r="AP186" s="70">
        <f>H186*(1-1)</f>
        <v>0</v>
      </c>
      <c r="AQ186" s="71" t="s">
        <v>355</v>
      </c>
      <c r="AV186" s="70">
        <f>AW186+AX186</f>
        <v>0</v>
      </c>
      <c r="AW186" s="70">
        <f>G186*AO186</f>
        <v>0</v>
      </c>
      <c r="AX186" s="70">
        <f>G186*AP186</f>
        <v>0</v>
      </c>
      <c r="AY186" s="71" t="s">
        <v>356</v>
      </c>
      <c r="AZ186" s="71" t="s">
        <v>1151</v>
      </c>
      <c r="BA186" s="67" t="s">
        <v>239</v>
      </c>
      <c r="BC186" s="70">
        <f>AW186+AX186</f>
        <v>0</v>
      </c>
      <c r="BD186" s="70">
        <f>H186/(100-BE186)*100</f>
        <v>0</v>
      </c>
      <c r="BE186" s="70">
        <v>0</v>
      </c>
      <c r="BF186" s="70">
        <f>186</f>
        <v>186</v>
      </c>
      <c r="BH186" s="70">
        <f>G186*AO186</f>
        <v>0</v>
      </c>
      <c r="BI186" s="70">
        <f>G186*AP186</f>
        <v>0</v>
      </c>
      <c r="BJ186" s="70">
        <f>G186*H186</f>
        <v>0</v>
      </c>
    </row>
    <row r="187" spans="1:62" ht="15">
      <c r="A187" s="589" t="s">
        <v>500</v>
      </c>
      <c r="B187" s="589" t="s">
        <v>1014</v>
      </c>
      <c r="C187" s="696" t="s">
        <v>1120</v>
      </c>
      <c r="D187" s="693"/>
      <c r="E187" s="693"/>
      <c r="F187" s="589" t="s">
        <v>253</v>
      </c>
      <c r="G187" s="70">
        <v>40</v>
      </c>
      <c r="H187" s="580">
        <v>0</v>
      </c>
      <c r="I187" s="70">
        <f>G187*AO187</f>
        <v>0</v>
      </c>
      <c r="J187" s="70">
        <f>G187*AP187</f>
        <v>0</v>
      </c>
      <c r="K187" s="70">
        <f>G187*H187</f>
        <v>0</v>
      </c>
      <c r="L187" s="71" t="s">
        <v>120</v>
      </c>
      <c r="Z187" s="70">
        <f>IF(AQ187="5",BJ187,0)</f>
        <v>0</v>
      </c>
      <c r="AB187" s="70">
        <f>IF(AQ187="1",BH187,0)</f>
        <v>0</v>
      </c>
      <c r="AC187" s="70">
        <f>IF(AQ187="1",BI187,0)</f>
        <v>0</v>
      </c>
      <c r="AD187" s="70">
        <f>IF(AQ187="7",BH187,0)</f>
        <v>0</v>
      </c>
      <c r="AE187" s="70">
        <f>IF(AQ187="7",BI187,0)</f>
        <v>0</v>
      </c>
      <c r="AF187" s="70">
        <f>IF(AQ187="2",BH187,0)</f>
        <v>0</v>
      </c>
      <c r="AG187" s="70">
        <f>IF(AQ187="2",BI187,0)</f>
        <v>0</v>
      </c>
      <c r="AH187" s="70">
        <f>IF(AQ187="0",BJ187,0)</f>
        <v>0</v>
      </c>
      <c r="AI187" s="67" t="s">
        <v>234</v>
      </c>
      <c r="AJ187" s="70">
        <f>IF(AN187=0,K187,0)</f>
        <v>0</v>
      </c>
      <c r="AK187" s="70">
        <f>IF(AN187=15,K187,0)</f>
        <v>0</v>
      </c>
      <c r="AL187" s="70">
        <f>IF(AN187=21,K187,0)</f>
        <v>0</v>
      </c>
      <c r="AN187" s="70">
        <v>21</v>
      </c>
      <c r="AO187" s="70">
        <f>H187*1</f>
        <v>0</v>
      </c>
      <c r="AP187" s="70">
        <f>H187*(1-1)</f>
        <v>0</v>
      </c>
      <c r="AQ187" s="71" t="s">
        <v>355</v>
      </c>
      <c r="AV187" s="70">
        <f>AW187+AX187</f>
        <v>0</v>
      </c>
      <c r="AW187" s="70">
        <f>G187*AO187</f>
        <v>0</v>
      </c>
      <c r="AX187" s="70">
        <f>G187*AP187</f>
        <v>0</v>
      </c>
      <c r="AY187" s="71" t="s">
        <v>356</v>
      </c>
      <c r="AZ187" s="71" t="s">
        <v>1151</v>
      </c>
      <c r="BA187" s="67" t="s">
        <v>239</v>
      </c>
      <c r="BC187" s="70">
        <f>AW187+AX187</f>
        <v>0</v>
      </c>
      <c r="BD187" s="70">
        <f>H187/(100-BE187)*100</f>
        <v>0</v>
      </c>
      <c r="BE187" s="70">
        <v>0</v>
      </c>
      <c r="BF187" s="70">
        <f>187</f>
        <v>187</v>
      </c>
      <c r="BH187" s="70">
        <f>G187*AO187</f>
        <v>0</v>
      </c>
      <c r="BI187" s="70">
        <f>G187*AP187</f>
        <v>0</v>
      </c>
      <c r="BJ187" s="70">
        <f>G187*H187</f>
        <v>0</v>
      </c>
    </row>
    <row r="188" spans="1:12" ht="15">
      <c r="A188" s="79"/>
      <c r="B188" s="80"/>
      <c r="C188" s="731" t="s">
        <v>1156</v>
      </c>
      <c r="D188" s="732"/>
      <c r="E188" s="733"/>
      <c r="F188" s="79" t="s">
        <v>70</v>
      </c>
      <c r="G188" s="79" t="s">
        <v>70</v>
      </c>
      <c r="H188" s="626" t="s">
        <v>70</v>
      </c>
      <c r="I188" s="81">
        <f>I189+I199+I202+I204</f>
        <v>0</v>
      </c>
      <c r="J188" s="81">
        <f>J189+J199+J202+J204</f>
        <v>0</v>
      </c>
      <c r="K188" s="81">
        <f>K189+K199+K202+K204</f>
        <v>0</v>
      </c>
      <c r="L188" s="82"/>
    </row>
    <row r="189" spans="1:47" ht="15">
      <c r="A189" s="88"/>
      <c r="B189" s="591" t="s">
        <v>177</v>
      </c>
      <c r="C189" s="710" t="s">
        <v>975</v>
      </c>
      <c r="D189" s="711"/>
      <c r="E189" s="711"/>
      <c r="F189" s="88" t="s">
        <v>70</v>
      </c>
      <c r="G189" s="88" t="s">
        <v>70</v>
      </c>
      <c r="H189" s="624" t="s">
        <v>70</v>
      </c>
      <c r="I189" s="90">
        <f>SUM(I190:I198)</f>
        <v>0</v>
      </c>
      <c r="J189" s="90">
        <f>SUM(J190:J198)</f>
        <v>0</v>
      </c>
      <c r="K189" s="90">
        <f>SUM(K190:K198)</f>
        <v>0</v>
      </c>
      <c r="L189" s="91"/>
      <c r="AI189" s="67" t="s">
        <v>150</v>
      </c>
      <c r="AS189" s="68">
        <f>SUM(AJ190:AJ198)</f>
        <v>0</v>
      </c>
      <c r="AT189" s="68">
        <f>SUM(AK190:AK198)</f>
        <v>0</v>
      </c>
      <c r="AU189" s="68">
        <f>SUM(AL190:AL198)</f>
        <v>0</v>
      </c>
    </row>
    <row r="190" spans="1:62" ht="15">
      <c r="A190" s="589" t="s">
        <v>501</v>
      </c>
      <c r="B190" s="589" t="s">
        <v>1020</v>
      </c>
      <c r="C190" s="696" t="s">
        <v>1021</v>
      </c>
      <c r="D190" s="693"/>
      <c r="E190" s="693"/>
      <c r="F190" s="589" t="s">
        <v>109</v>
      </c>
      <c r="G190" s="70">
        <v>546</v>
      </c>
      <c r="H190" s="580">
        <v>0</v>
      </c>
      <c r="I190" s="70">
        <f aca="true" t="shared" si="116" ref="I190:I196">G190*AO190</f>
        <v>0</v>
      </c>
      <c r="J190" s="70">
        <f aca="true" t="shared" si="117" ref="J190:J196">G190*AP190</f>
        <v>0</v>
      </c>
      <c r="K190" s="70">
        <f aca="true" t="shared" si="118" ref="K190:K196">G190*H190</f>
        <v>0</v>
      </c>
      <c r="L190" s="71" t="s">
        <v>120</v>
      </c>
      <c r="Z190" s="70">
        <f aca="true" t="shared" si="119" ref="Z190:Z196">IF(AQ190="5",BJ190,0)</f>
        <v>0</v>
      </c>
      <c r="AB190" s="70">
        <f aca="true" t="shared" si="120" ref="AB190:AB196">IF(AQ190="1",BH190,0)</f>
        <v>0</v>
      </c>
      <c r="AC190" s="70">
        <f aca="true" t="shared" si="121" ref="AC190:AC196">IF(AQ190="1",BI190,0)</f>
        <v>0</v>
      </c>
      <c r="AD190" s="70">
        <f aca="true" t="shared" si="122" ref="AD190:AD196">IF(AQ190="7",BH190,0)</f>
        <v>0</v>
      </c>
      <c r="AE190" s="70">
        <f aca="true" t="shared" si="123" ref="AE190:AE196">IF(AQ190="7",BI190,0)</f>
        <v>0</v>
      </c>
      <c r="AF190" s="70">
        <f aca="true" t="shared" si="124" ref="AF190:AF196">IF(AQ190="2",BH190,0)</f>
        <v>0</v>
      </c>
      <c r="AG190" s="70">
        <f aca="true" t="shared" si="125" ref="AG190:AG196">IF(AQ190="2",BI190,0)</f>
        <v>0</v>
      </c>
      <c r="AH190" s="70">
        <f aca="true" t="shared" si="126" ref="AH190:AH196">IF(AQ190="0",BJ190,0)</f>
        <v>0</v>
      </c>
      <c r="AI190" s="67" t="s">
        <v>150</v>
      </c>
      <c r="AJ190" s="70">
        <f aca="true" t="shared" si="127" ref="AJ190:AJ196">IF(AN190=0,K190,0)</f>
        <v>0</v>
      </c>
      <c r="AK190" s="70">
        <f aca="true" t="shared" si="128" ref="AK190:AK196">IF(AN190=15,K190,0)</f>
        <v>0</v>
      </c>
      <c r="AL190" s="70">
        <f aca="true" t="shared" si="129" ref="AL190:AL196">IF(AN190=21,K190,0)</f>
        <v>0</v>
      </c>
      <c r="AN190" s="70">
        <v>21</v>
      </c>
      <c r="AO190" s="70">
        <f>H190*0.00665024630541872</f>
        <v>0</v>
      </c>
      <c r="AP190" s="70">
        <f>H190*(1-0.00665024630541872)</f>
        <v>0</v>
      </c>
      <c r="AQ190" s="71" t="s">
        <v>106</v>
      </c>
      <c r="AV190" s="70">
        <f aca="true" t="shared" si="130" ref="AV190:AV196">AW190+AX190</f>
        <v>0</v>
      </c>
      <c r="AW190" s="70">
        <f aca="true" t="shared" si="131" ref="AW190:AW196">G190*AO190</f>
        <v>0</v>
      </c>
      <c r="AX190" s="70">
        <f aca="true" t="shared" si="132" ref="AX190:AX196">G190*AP190</f>
        <v>0</v>
      </c>
      <c r="AY190" s="71" t="s">
        <v>439</v>
      </c>
      <c r="AZ190" s="71" t="s">
        <v>1157</v>
      </c>
      <c r="BA190" s="67" t="s">
        <v>1158</v>
      </c>
      <c r="BC190" s="70">
        <f aca="true" t="shared" si="133" ref="BC190:BC196">AW190+AX190</f>
        <v>0</v>
      </c>
      <c r="BD190" s="70">
        <f aca="true" t="shared" si="134" ref="BD190:BD196">H190/(100-BE190)*100</f>
        <v>0</v>
      </c>
      <c r="BE190" s="70">
        <v>0</v>
      </c>
      <c r="BF190" s="70">
        <f>190</f>
        <v>190</v>
      </c>
      <c r="BH190" s="70">
        <f aca="true" t="shared" si="135" ref="BH190:BH196">G190*AO190</f>
        <v>0</v>
      </c>
      <c r="BI190" s="70">
        <f aca="true" t="shared" si="136" ref="BI190:BI196">G190*AP190</f>
        <v>0</v>
      </c>
      <c r="BJ190" s="70">
        <f aca="true" t="shared" si="137" ref="BJ190:BJ196">G190*H190</f>
        <v>0</v>
      </c>
    </row>
    <row r="191" spans="1:62" ht="15">
      <c r="A191" s="589" t="s">
        <v>506</v>
      </c>
      <c r="B191" s="589" t="s">
        <v>1023</v>
      </c>
      <c r="C191" s="696" t="s">
        <v>1090</v>
      </c>
      <c r="D191" s="693"/>
      <c r="E191" s="693"/>
      <c r="F191" s="589" t="s">
        <v>109</v>
      </c>
      <c r="G191" s="70">
        <v>546</v>
      </c>
      <c r="H191" s="580">
        <v>0</v>
      </c>
      <c r="I191" s="70">
        <f t="shared" si="116"/>
        <v>0</v>
      </c>
      <c r="J191" s="70">
        <f t="shared" si="117"/>
        <v>0</v>
      </c>
      <c r="K191" s="70">
        <f t="shared" si="118"/>
        <v>0</v>
      </c>
      <c r="L191" s="71" t="s">
        <v>120</v>
      </c>
      <c r="Z191" s="70">
        <f t="shared" si="119"/>
        <v>0</v>
      </c>
      <c r="AB191" s="70">
        <f t="shared" si="120"/>
        <v>0</v>
      </c>
      <c r="AC191" s="70">
        <f t="shared" si="121"/>
        <v>0</v>
      </c>
      <c r="AD191" s="70">
        <f t="shared" si="122"/>
        <v>0</v>
      </c>
      <c r="AE191" s="70">
        <f t="shared" si="123"/>
        <v>0</v>
      </c>
      <c r="AF191" s="70">
        <f t="shared" si="124"/>
        <v>0</v>
      </c>
      <c r="AG191" s="70">
        <f t="shared" si="125"/>
        <v>0</v>
      </c>
      <c r="AH191" s="70">
        <f t="shared" si="126"/>
        <v>0</v>
      </c>
      <c r="AI191" s="67" t="s">
        <v>150</v>
      </c>
      <c r="AJ191" s="70">
        <f t="shared" si="127"/>
        <v>0</v>
      </c>
      <c r="AK191" s="70">
        <f t="shared" si="128"/>
        <v>0</v>
      </c>
      <c r="AL191" s="70">
        <f t="shared" si="129"/>
        <v>0</v>
      </c>
      <c r="AN191" s="70">
        <v>21</v>
      </c>
      <c r="AO191" s="70">
        <f>H191*0</f>
        <v>0</v>
      </c>
      <c r="AP191" s="70">
        <f>H191*(1-0)</f>
        <v>0</v>
      </c>
      <c r="AQ191" s="71" t="s">
        <v>106</v>
      </c>
      <c r="AV191" s="70">
        <f t="shared" si="130"/>
        <v>0</v>
      </c>
      <c r="AW191" s="70">
        <f t="shared" si="131"/>
        <v>0</v>
      </c>
      <c r="AX191" s="70">
        <f t="shared" si="132"/>
        <v>0</v>
      </c>
      <c r="AY191" s="71" t="s">
        <v>439</v>
      </c>
      <c r="AZ191" s="71" t="s">
        <v>1157</v>
      </c>
      <c r="BA191" s="67" t="s">
        <v>1158</v>
      </c>
      <c r="BC191" s="70">
        <f t="shared" si="133"/>
        <v>0</v>
      </c>
      <c r="BD191" s="70">
        <f t="shared" si="134"/>
        <v>0</v>
      </c>
      <c r="BE191" s="70">
        <v>0</v>
      </c>
      <c r="BF191" s="70">
        <f>191</f>
        <v>191</v>
      </c>
      <c r="BH191" s="70">
        <f t="shared" si="135"/>
        <v>0</v>
      </c>
      <c r="BI191" s="70">
        <f t="shared" si="136"/>
        <v>0</v>
      </c>
      <c r="BJ191" s="70">
        <f t="shared" si="137"/>
        <v>0</v>
      </c>
    </row>
    <row r="192" spans="1:62" ht="15">
      <c r="A192" s="589" t="s">
        <v>510</v>
      </c>
      <c r="B192" s="589" t="s">
        <v>1025</v>
      </c>
      <c r="C192" s="696" t="s">
        <v>1159</v>
      </c>
      <c r="D192" s="693"/>
      <c r="E192" s="693"/>
      <c r="F192" s="589" t="s">
        <v>253</v>
      </c>
      <c r="G192" s="70">
        <v>60</v>
      </c>
      <c r="H192" s="580">
        <v>0</v>
      </c>
      <c r="I192" s="70">
        <f t="shared" si="116"/>
        <v>0</v>
      </c>
      <c r="J192" s="70">
        <f t="shared" si="117"/>
        <v>0</v>
      </c>
      <c r="K192" s="70">
        <f t="shared" si="118"/>
        <v>0</v>
      </c>
      <c r="L192" s="71" t="s">
        <v>120</v>
      </c>
      <c r="Z192" s="70">
        <f t="shared" si="119"/>
        <v>0</v>
      </c>
      <c r="AB192" s="70">
        <f t="shared" si="120"/>
        <v>0</v>
      </c>
      <c r="AC192" s="70">
        <f t="shared" si="121"/>
        <v>0</v>
      </c>
      <c r="AD192" s="70">
        <f t="shared" si="122"/>
        <v>0</v>
      </c>
      <c r="AE192" s="70">
        <f t="shared" si="123"/>
        <v>0</v>
      </c>
      <c r="AF192" s="70">
        <f t="shared" si="124"/>
        <v>0</v>
      </c>
      <c r="AG192" s="70">
        <f t="shared" si="125"/>
        <v>0</v>
      </c>
      <c r="AH192" s="70">
        <f t="shared" si="126"/>
        <v>0</v>
      </c>
      <c r="AI192" s="67" t="s">
        <v>150</v>
      </c>
      <c r="AJ192" s="70">
        <f t="shared" si="127"/>
        <v>0</v>
      </c>
      <c r="AK192" s="70">
        <f t="shared" si="128"/>
        <v>0</v>
      </c>
      <c r="AL192" s="70">
        <f t="shared" si="129"/>
        <v>0</v>
      </c>
      <c r="AN192" s="70">
        <v>21</v>
      </c>
      <c r="AO192" s="70">
        <f>H192*0</f>
        <v>0</v>
      </c>
      <c r="AP192" s="70">
        <f>H192*(1-0)</f>
        <v>0</v>
      </c>
      <c r="AQ192" s="71" t="s">
        <v>106</v>
      </c>
      <c r="AV192" s="70">
        <f t="shared" si="130"/>
        <v>0</v>
      </c>
      <c r="AW192" s="70">
        <f t="shared" si="131"/>
        <v>0</v>
      </c>
      <c r="AX192" s="70">
        <f t="shared" si="132"/>
        <v>0</v>
      </c>
      <c r="AY192" s="71" t="s">
        <v>439</v>
      </c>
      <c r="AZ192" s="71" t="s">
        <v>1157</v>
      </c>
      <c r="BA192" s="67" t="s">
        <v>1158</v>
      </c>
      <c r="BC192" s="70">
        <f t="shared" si="133"/>
        <v>0</v>
      </c>
      <c r="BD192" s="70">
        <f t="shared" si="134"/>
        <v>0</v>
      </c>
      <c r="BE192" s="70">
        <v>0</v>
      </c>
      <c r="BF192" s="70">
        <f>192</f>
        <v>192</v>
      </c>
      <c r="BH192" s="70">
        <f t="shared" si="135"/>
        <v>0</v>
      </c>
      <c r="BI192" s="70">
        <f t="shared" si="136"/>
        <v>0</v>
      </c>
      <c r="BJ192" s="70">
        <f t="shared" si="137"/>
        <v>0</v>
      </c>
    </row>
    <row r="193" spans="1:62" ht="15">
      <c r="A193" s="589" t="s">
        <v>513</v>
      </c>
      <c r="B193" s="589" t="s">
        <v>1104</v>
      </c>
      <c r="C193" s="696" t="s">
        <v>1105</v>
      </c>
      <c r="D193" s="693"/>
      <c r="E193" s="693"/>
      <c r="F193" s="589" t="s">
        <v>697</v>
      </c>
      <c r="G193" s="70">
        <v>955</v>
      </c>
      <c r="H193" s="580">
        <v>0</v>
      </c>
      <c r="I193" s="70">
        <f t="shared" si="116"/>
        <v>0</v>
      </c>
      <c r="J193" s="70">
        <f t="shared" si="117"/>
        <v>0</v>
      </c>
      <c r="K193" s="70">
        <f t="shared" si="118"/>
        <v>0</v>
      </c>
      <c r="L193" s="71"/>
      <c r="Z193" s="70">
        <f t="shared" si="119"/>
        <v>0</v>
      </c>
      <c r="AB193" s="70">
        <f t="shared" si="120"/>
        <v>0</v>
      </c>
      <c r="AC193" s="70">
        <f t="shared" si="121"/>
        <v>0</v>
      </c>
      <c r="AD193" s="70">
        <f t="shared" si="122"/>
        <v>0</v>
      </c>
      <c r="AE193" s="70">
        <f t="shared" si="123"/>
        <v>0</v>
      </c>
      <c r="AF193" s="70">
        <f t="shared" si="124"/>
        <v>0</v>
      </c>
      <c r="AG193" s="70">
        <f t="shared" si="125"/>
        <v>0</v>
      </c>
      <c r="AH193" s="70">
        <f t="shared" si="126"/>
        <v>0</v>
      </c>
      <c r="AI193" s="67" t="s">
        <v>150</v>
      </c>
      <c r="AJ193" s="70">
        <f t="shared" si="127"/>
        <v>0</v>
      </c>
      <c r="AK193" s="70">
        <f t="shared" si="128"/>
        <v>0</v>
      </c>
      <c r="AL193" s="70">
        <f t="shared" si="129"/>
        <v>0</v>
      </c>
      <c r="AN193" s="70">
        <v>21</v>
      </c>
      <c r="AO193" s="70">
        <f>H193*0</f>
        <v>0</v>
      </c>
      <c r="AP193" s="70">
        <f>H193*(1-0)</f>
        <v>0</v>
      </c>
      <c r="AQ193" s="71" t="s">
        <v>106</v>
      </c>
      <c r="AV193" s="70">
        <f t="shared" si="130"/>
        <v>0</v>
      </c>
      <c r="AW193" s="70">
        <f t="shared" si="131"/>
        <v>0</v>
      </c>
      <c r="AX193" s="70">
        <f t="shared" si="132"/>
        <v>0</v>
      </c>
      <c r="AY193" s="71" t="s">
        <v>439</v>
      </c>
      <c r="AZ193" s="71" t="s">
        <v>1157</v>
      </c>
      <c r="BA193" s="67" t="s">
        <v>1158</v>
      </c>
      <c r="BC193" s="70">
        <f t="shared" si="133"/>
        <v>0</v>
      </c>
      <c r="BD193" s="70">
        <f t="shared" si="134"/>
        <v>0</v>
      </c>
      <c r="BE193" s="70">
        <v>0</v>
      </c>
      <c r="BF193" s="70">
        <f>193</f>
        <v>193</v>
      </c>
      <c r="BH193" s="70">
        <f t="shared" si="135"/>
        <v>0</v>
      </c>
      <c r="BI193" s="70">
        <f t="shared" si="136"/>
        <v>0</v>
      </c>
      <c r="BJ193" s="70">
        <f t="shared" si="137"/>
        <v>0</v>
      </c>
    </row>
    <row r="194" spans="1:62" ht="15">
      <c r="A194" s="589" t="s">
        <v>515</v>
      </c>
      <c r="B194" s="589" t="s">
        <v>1160</v>
      </c>
      <c r="C194" s="696" t="s">
        <v>1161</v>
      </c>
      <c r="D194" s="693"/>
      <c r="E194" s="693"/>
      <c r="F194" s="589" t="s">
        <v>109</v>
      </c>
      <c r="G194" s="70">
        <v>546</v>
      </c>
      <c r="H194" s="580">
        <v>0</v>
      </c>
      <c r="I194" s="70">
        <f t="shared" si="116"/>
        <v>0</v>
      </c>
      <c r="J194" s="70">
        <f t="shared" si="117"/>
        <v>0</v>
      </c>
      <c r="K194" s="70">
        <f t="shared" si="118"/>
        <v>0</v>
      </c>
      <c r="L194" s="71" t="s">
        <v>120</v>
      </c>
      <c r="Z194" s="70">
        <f t="shared" si="119"/>
        <v>0</v>
      </c>
      <c r="AB194" s="70">
        <f t="shared" si="120"/>
        <v>0</v>
      </c>
      <c r="AC194" s="70">
        <f t="shared" si="121"/>
        <v>0</v>
      </c>
      <c r="AD194" s="70">
        <f t="shared" si="122"/>
        <v>0</v>
      </c>
      <c r="AE194" s="70">
        <f t="shared" si="123"/>
        <v>0</v>
      </c>
      <c r="AF194" s="70">
        <f t="shared" si="124"/>
        <v>0</v>
      </c>
      <c r="AG194" s="70">
        <f t="shared" si="125"/>
        <v>0</v>
      </c>
      <c r="AH194" s="70">
        <f t="shared" si="126"/>
        <v>0</v>
      </c>
      <c r="AI194" s="67" t="s">
        <v>150</v>
      </c>
      <c r="AJ194" s="70">
        <f t="shared" si="127"/>
        <v>0</v>
      </c>
      <c r="AK194" s="70">
        <f t="shared" si="128"/>
        <v>0</v>
      </c>
      <c r="AL194" s="70">
        <f t="shared" si="129"/>
        <v>0</v>
      </c>
      <c r="AN194" s="70">
        <v>21</v>
      </c>
      <c r="AO194" s="70">
        <f>H194*0.720960698689956</f>
        <v>0</v>
      </c>
      <c r="AP194" s="70">
        <f>H194*(1-0.720960698689956)</f>
        <v>0</v>
      </c>
      <c r="AQ194" s="71" t="s">
        <v>106</v>
      </c>
      <c r="AV194" s="70">
        <f t="shared" si="130"/>
        <v>0</v>
      </c>
      <c r="AW194" s="70">
        <f t="shared" si="131"/>
        <v>0</v>
      </c>
      <c r="AX194" s="70">
        <f t="shared" si="132"/>
        <v>0</v>
      </c>
      <c r="AY194" s="71" t="s">
        <v>439</v>
      </c>
      <c r="AZ194" s="71" t="s">
        <v>1157</v>
      </c>
      <c r="BA194" s="67" t="s">
        <v>1158</v>
      </c>
      <c r="BC194" s="70">
        <f t="shared" si="133"/>
        <v>0</v>
      </c>
      <c r="BD194" s="70">
        <f t="shared" si="134"/>
        <v>0</v>
      </c>
      <c r="BE194" s="70">
        <v>0</v>
      </c>
      <c r="BF194" s="70">
        <f>194</f>
        <v>194</v>
      </c>
      <c r="BH194" s="70">
        <f t="shared" si="135"/>
        <v>0</v>
      </c>
      <c r="BI194" s="70">
        <f t="shared" si="136"/>
        <v>0</v>
      </c>
      <c r="BJ194" s="70">
        <f t="shared" si="137"/>
        <v>0</v>
      </c>
    </row>
    <row r="195" spans="1:62" ht="15">
      <c r="A195" s="589" t="s">
        <v>517</v>
      </c>
      <c r="B195" s="589" t="s">
        <v>1162</v>
      </c>
      <c r="C195" s="696" t="s">
        <v>1163</v>
      </c>
      <c r="D195" s="693"/>
      <c r="E195" s="693"/>
      <c r="F195" s="589" t="s">
        <v>253</v>
      </c>
      <c r="G195" s="70">
        <v>5.5</v>
      </c>
      <c r="H195" s="580">
        <v>0</v>
      </c>
      <c r="I195" s="70">
        <f t="shared" si="116"/>
        <v>0</v>
      </c>
      <c r="J195" s="70">
        <f t="shared" si="117"/>
        <v>0</v>
      </c>
      <c r="K195" s="70">
        <f t="shared" si="118"/>
        <v>0</v>
      </c>
      <c r="L195" s="71" t="s">
        <v>120</v>
      </c>
      <c r="Z195" s="70">
        <f t="shared" si="119"/>
        <v>0</v>
      </c>
      <c r="AB195" s="70">
        <f t="shared" si="120"/>
        <v>0</v>
      </c>
      <c r="AC195" s="70">
        <f t="shared" si="121"/>
        <v>0</v>
      </c>
      <c r="AD195" s="70">
        <f t="shared" si="122"/>
        <v>0</v>
      </c>
      <c r="AE195" s="70">
        <f t="shared" si="123"/>
        <v>0</v>
      </c>
      <c r="AF195" s="70">
        <f t="shared" si="124"/>
        <v>0</v>
      </c>
      <c r="AG195" s="70">
        <f t="shared" si="125"/>
        <v>0</v>
      </c>
      <c r="AH195" s="70">
        <f t="shared" si="126"/>
        <v>0</v>
      </c>
      <c r="AI195" s="67" t="s">
        <v>150</v>
      </c>
      <c r="AJ195" s="70">
        <f t="shared" si="127"/>
        <v>0</v>
      </c>
      <c r="AK195" s="70">
        <f t="shared" si="128"/>
        <v>0</v>
      </c>
      <c r="AL195" s="70">
        <f t="shared" si="129"/>
        <v>0</v>
      </c>
      <c r="AN195" s="70">
        <v>21</v>
      </c>
      <c r="AO195" s="70">
        <f>H195*0.760495322492557</f>
        <v>0</v>
      </c>
      <c r="AP195" s="70">
        <f>H195*(1-0.760495322492557)</f>
        <v>0</v>
      </c>
      <c r="AQ195" s="71" t="s">
        <v>114</v>
      </c>
      <c r="AV195" s="70">
        <f t="shared" si="130"/>
        <v>0</v>
      </c>
      <c r="AW195" s="70">
        <f t="shared" si="131"/>
        <v>0</v>
      </c>
      <c r="AX195" s="70">
        <f t="shared" si="132"/>
        <v>0</v>
      </c>
      <c r="AY195" s="71" t="s">
        <v>439</v>
      </c>
      <c r="AZ195" s="71" t="s">
        <v>1157</v>
      </c>
      <c r="BA195" s="67" t="s">
        <v>1158</v>
      </c>
      <c r="BC195" s="70">
        <f t="shared" si="133"/>
        <v>0</v>
      </c>
      <c r="BD195" s="70">
        <f t="shared" si="134"/>
        <v>0</v>
      </c>
      <c r="BE195" s="70">
        <v>0</v>
      </c>
      <c r="BF195" s="70">
        <f>195</f>
        <v>195</v>
      </c>
      <c r="BH195" s="70">
        <f t="shared" si="135"/>
        <v>0</v>
      </c>
      <c r="BI195" s="70">
        <f t="shared" si="136"/>
        <v>0</v>
      </c>
      <c r="BJ195" s="70">
        <f t="shared" si="137"/>
        <v>0</v>
      </c>
    </row>
    <row r="196" spans="1:62" ht="15">
      <c r="A196" s="589" t="s">
        <v>519</v>
      </c>
      <c r="B196" s="589" t="s">
        <v>1164</v>
      </c>
      <c r="C196" s="696" t="s">
        <v>1165</v>
      </c>
      <c r="D196" s="693"/>
      <c r="E196" s="693"/>
      <c r="F196" s="589" t="s">
        <v>109</v>
      </c>
      <c r="G196" s="70">
        <v>546</v>
      </c>
      <c r="H196" s="580">
        <v>0</v>
      </c>
      <c r="I196" s="70">
        <f t="shared" si="116"/>
        <v>0</v>
      </c>
      <c r="J196" s="70">
        <f t="shared" si="117"/>
        <v>0</v>
      </c>
      <c r="K196" s="70">
        <f t="shared" si="118"/>
        <v>0</v>
      </c>
      <c r="L196" s="71" t="s">
        <v>120</v>
      </c>
      <c r="Z196" s="70">
        <f t="shared" si="119"/>
        <v>0</v>
      </c>
      <c r="AB196" s="70">
        <f t="shared" si="120"/>
        <v>0</v>
      </c>
      <c r="AC196" s="70">
        <f t="shared" si="121"/>
        <v>0</v>
      </c>
      <c r="AD196" s="70">
        <f t="shared" si="122"/>
        <v>0</v>
      </c>
      <c r="AE196" s="70">
        <f t="shared" si="123"/>
        <v>0</v>
      </c>
      <c r="AF196" s="70">
        <f t="shared" si="124"/>
        <v>0</v>
      </c>
      <c r="AG196" s="70">
        <f t="shared" si="125"/>
        <v>0</v>
      </c>
      <c r="AH196" s="70">
        <f t="shared" si="126"/>
        <v>0</v>
      </c>
      <c r="AI196" s="67" t="s">
        <v>150</v>
      </c>
      <c r="AJ196" s="70">
        <f t="shared" si="127"/>
        <v>0</v>
      </c>
      <c r="AK196" s="70">
        <f t="shared" si="128"/>
        <v>0</v>
      </c>
      <c r="AL196" s="70">
        <f t="shared" si="129"/>
        <v>0</v>
      </c>
      <c r="AN196" s="70">
        <v>21</v>
      </c>
      <c r="AO196" s="70">
        <f>H196*0</f>
        <v>0</v>
      </c>
      <c r="AP196" s="70">
        <f>H196*(1-0)</f>
        <v>0</v>
      </c>
      <c r="AQ196" s="71" t="s">
        <v>106</v>
      </c>
      <c r="AV196" s="70">
        <f t="shared" si="130"/>
        <v>0</v>
      </c>
      <c r="AW196" s="70">
        <f t="shared" si="131"/>
        <v>0</v>
      </c>
      <c r="AX196" s="70">
        <f t="shared" si="132"/>
        <v>0</v>
      </c>
      <c r="AY196" s="71" t="s">
        <v>439</v>
      </c>
      <c r="AZ196" s="71" t="s">
        <v>1157</v>
      </c>
      <c r="BA196" s="67" t="s">
        <v>1158</v>
      </c>
      <c r="BC196" s="70">
        <f t="shared" si="133"/>
        <v>0</v>
      </c>
      <c r="BD196" s="70">
        <f t="shared" si="134"/>
        <v>0</v>
      </c>
      <c r="BE196" s="70">
        <v>0</v>
      </c>
      <c r="BF196" s="70">
        <f>196</f>
        <v>196</v>
      </c>
      <c r="BH196" s="70">
        <f t="shared" si="135"/>
        <v>0</v>
      </c>
      <c r="BI196" s="70">
        <f t="shared" si="136"/>
        <v>0</v>
      </c>
      <c r="BJ196" s="70">
        <f t="shared" si="137"/>
        <v>0</v>
      </c>
    </row>
    <row r="197" spans="2:12" ht="12.75" customHeight="1">
      <c r="B197" s="75" t="s">
        <v>67</v>
      </c>
      <c r="C197" s="725" t="s">
        <v>1166</v>
      </c>
      <c r="D197" s="726"/>
      <c r="E197" s="726"/>
      <c r="F197" s="726"/>
      <c r="G197" s="726"/>
      <c r="H197" s="726"/>
      <c r="I197" s="726"/>
      <c r="J197" s="726"/>
      <c r="K197" s="726"/>
      <c r="L197" s="726"/>
    </row>
    <row r="198" spans="1:62" ht="15">
      <c r="A198" s="589" t="s">
        <v>522</v>
      </c>
      <c r="B198" s="589" t="s">
        <v>1036</v>
      </c>
      <c r="C198" s="696" t="s">
        <v>1167</v>
      </c>
      <c r="D198" s="693"/>
      <c r="E198" s="693"/>
      <c r="F198" s="589" t="s">
        <v>253</v>
      </c>
      <c r="G198" s="70">
        <v>16</v>
      </c>
      <c r="H198" s="580">
        <v>0</v>
      </c>
      <c r="I198" s="70">
        <f>G198*AO198</f>
        <v>0</v>
      </c>
      <c r="J198" s="70">
        <f>G198*AP198</f>
        <v>0</v>
      </c>
      <c r="K198" s="70">
        <f>G198*H198</f>
        <v>0</v>
      </c>
      <c r="L198" s="71" t="s">
        <v>120</v>
      </c>
      <c r="Z198" s="70">
        <f>IF(AQ198="5",BJ198,0)</f>
        <v>0</v>
      </c>
      <c r="AB198" s="70">
        <f>IF(AQ198="1",BH198,0)</f>
        <v>0</v>
      </c>
      <c r="AC198" s="70">
        <f>IF(AQ198="1",BI198,0)</f>
        <v>0</v>
      </c>
      <c r="AD198" s="70">
        <f>IF(AQ198="7",BH198,0)</f>
        <v>0</v>
      </c>
      <c r="AE198" s="70">
        <f>IF(AQ198="7",BI198,0)</f>
        <v>0</v>
      </c>
      <c r="AF198" s="70">
        <f>IF(AQ198="2",BH198,0)</f>
        <v>0</v>
      </c>
      <c r="AG198" s="70">
        <f>IF(AQ198="2",BI198,0)</f>
        <v>0</v>
      </c>
      <c r="AH198" s="70">
        <f>IF(AQ198="0",BJ198,0)</f>
        <v>0</v>
      </c>
      <c r="AI198" s="67" t="s">
        <v>150</v>
      </c>
      <c r="AJ198" s="70">
        <f>IF(AN198=0,K198,0)</f>
        <v>0</v>
      </c>
      <c r="AK198" s="70">
        <f>IF(AN198=15,K198,0)</f>
        <v>0</v>
      </c>
      <c r="AL198" s="70">
        <f>IF(AN198=21,K198,0)</f>
        <v>0</v>
      </c>
      <c r="AN198" s="70">
        <v>21</v>
      </c>
      <c r="AO198" s="70">
        <f>H198*0.446029376694724</f>
        <v>0</v>
      </c>
      <c r="AP198" s="70">
        <f>H198*(1-0.446029376694724)</f>
        <v>0</v>
      </c>
      <c r="AQ198" s="71" t="s">
        <v>106</v>
      </c>
      <c r="AV198" s="70">
        <f>AW198+AX198</f>
        <v>0</v>
      </c>
      <c r="AW198" s="70">
        <f>G198*AO198</f>
        <v>0</v>
      </c>
      <c r="AX198" s="70">
        <f>G198*AP198</f>
        <v>0</v>
      </c>
      <c r="AY198" s="71" t="s">
        <v>439</v>
      </c>
      <c r="AZ198" s="71" t="s">
        <v>1157</v>
      </c>
      <c r="BA198" s="67" t="s">
        <v>1158</v>
      </c>
      <c r="BC198" s="70">
        <f>AW198+AX198</f>
        <v>0</v>
      </c>
      <c r="BD198" s="70">
        <f>H198/(100-BE198)*100</f>
        <v>0</v>
      </c>
      <c r="BE198" s="70">
        <v>0</v>
      </c>
      <c r="BF198" s="70">
        <f>198</f>
        <v>198</v>
      </c>
      <c r="BH198" s="70">
        <f>G198*AO198</f>
        <v>0</v>
      </c>
      <c r="BI198" s="70">
        <f>G198*AP198</f>
        <v>0</v>
      </c>
      <c r="BJ198" s="70">
        <f>G198*H198</f>
        <v>0</v>
      </c>
    </row>
    <row r="199" spans="1:47" ht="15">
      <c r="A199" s="88"/>
      <c r="B199" s="591" t="s">
        <v>314</v>
      </c>
      <c r="C199" s="710" t="s">
        <v>327</v>
      </c>
      <c r="D199" s="711"/>
      <c r="E199" s="711"/>
      <c r="F199" s="88" t="s">
        <v>70</v>
      </c>
      <c r="G199" s="88" t="s">
        <v>70</v>
      </c>
      <c r="H199" s="624" t="s">
        <v>70</v>
      </c>
      <c r="I199" s="90">
        <f>SUM(I200:I200)</f>
        <v>0</v>
      </c>
      <c r="J199" s="90">
        <f>SUM(J200:J200)</f>
        <v>0</v>
      </c>
      <c r="K199" s="90">
        <f>SUM(K200:K200)</f>
        <v>0</v>
      </c>
      <c r="L199" s="91"/>
      <c r="AI199" s="67" t="s">
        <v>150</v>
      </c>
      <c r="AS199" s="68">
        <f>SUM(AJ200:AJ200)</f>
        <v>0</v>
      </c>
      <c r="AT199" s="68">
        <f>SUM(AK200:AK200)</f>
        <v>0</v>
      </c>
      <c r="AU199" s="68">
        <f>SUM(AL200:AL200)</f>
        <v>0</v>
      </c>
    </row>
    <row r="200" spans="1:62" ht="15">
      <c r="A200" s="589" t="s">
        <v>524</v>
      </c>
      <c r="B200" s="589" t="s">
        <v>335</v>
      </c>
      <c r="C200" s="696" t="s">
        <v>1063</v>
      </c>
      <c r="D200" s="693"/>
      <c r="E200" s="693"/>
      <c r="F200" s="589" t="s">
        <v>337</v>
      </c>
      <c r="G200" s="70">
        <v>1080</v>
      </c>
      <c r="H200" s="580">
        <v>0</v>
      </c>
      <c r="I200" s="70">
        <f>G200*AO200</f>
        <v>0</v>
      </c>
      <c r="J200" s="70">
        <f>G200*AP200</f>
        <v>0</v>
      </c>
      <c r="K200" s="70">
        <f>G200*H200</f>
        <v>0</v>
      </c>
      <c r="L200" s="71"/>
      <c r="Z200" s="70">
        <f>IF(AQ200="5",BJ200,0)</f>
        <v>0</v>
      </c>
      <c r="AB200" s="70">
        <f>IF(AQ200="1",BH200,0)</f>
        <v>0</v>
      </c>
      <c r="AC200" s="70">
        <f>IF(AQ200="1",BI200,0)</f>
        <v>0</v>
      </c>
      <c r="AD200" s="70">
        <f>IF(AQ200="7",BH200,0)</f>
        <v>0</v>
      </c>
      <c r="AE200" s="70">
        <f>IF(AQ200="7",BI200,0)</f>
        <v>0</v>
      </c>
      <c r="AF200" s="70">
        <f>IF(AQ200="2",BH200,0)</f>
        <v>0</v>
      </c>
      <c r="AG200" s="70">
        <f>IF(AQ200="2",BI200,0)</f>
        <v>0</v>
      </c>
      <c r="AH200" s="70">
        <f>IF(AQ200="0",BJ200,0)</f>
        <v>0</v>
      </c>
      <c r="AI200" s="67" t="s">
        <v>150</v>
      </c>
      <c r="AJ200" s="70">
        <f>IF(AN200=0,K200,0)</f>
        <v>0</v>
      </c>
      <c r="AK200" s="70">
        <f>IF(AN200=15,K200,0)</f>
        <v>0</v>
      </c>
      <c r="AL200" s="70">
        <f>IF(AN200=21,K200,0)</f>
        <v>0</v>
      </c>
      <c r="AN200" s="70">
        <v>21</v>
      </c>
      <c r="AO200" s="70">
        <f>H200*0</f>
        <v>0</v>
      </c>
      <c r="AP200" s="70">
        <f>H200*(1-0)</f>
        <v>0</v>
      </c>
      <c r="AQ200" s="71" t="s">
        <v>124</v>
      </c>
      <c r="AV200" s="70">
        <f>AW200+AX200</f>
        <v>0</v>
      </c>
      <c r="AW200" s="70">
        <f>G200*AO200</f>
        <v>0</v>
      </c>
      <c r="AX200" s="70">
        <f>G200*AP200</f>
        <v>0</v>
      </c>
      <c r="AY200" s="71" t="s">
        <v>331</v>
      </c>
      <c r="AZ200" s="71" t="s">
        <v>1168</v>
      </c>
      <c r="BA200" s="67" t="s">
        <v>1158</v>
      </c>
      <c r="BC200" s="70">
        <f>AW200+AX200</f>
        <v>0</v>
      </c>
      <c r="BD200" s="70">
        <f>H200/(100-BE200)*100</f>
        <v>0</v>
      </c>
      <c r="BE200" s="70">
        <v>0</v>
      </c>
      <c r="BF200" s="70">
        <f>200</f>
        <v>200</v>
      </c>
      <c r="BH200" s="70">
        <f>G200*AO200</f>
        <v>0</v>
      </c>
      <c r="BI200" s="70">
        <f>G200*AP200</f>
        <v>0</v>
      </c>
      <c r="BJ200" s="70">
        <f>G200*H200</f>
        <v>0</v>
      </c>
    </row>
    <row r="201" spans="2:12" ht="51.3" customHeight="1">
      <c r="B201" s="75" t="s">
        <v>67</v>
      </c>
      <c r="C201" s="725" t="s">
        <v>1169</v>
      </c>
      <c r="D201" s="726"/>
      <c r="E201" s="726"/>
      <c r="F201" s="726"/>
      <c r="G201" s="726"/>
      <c r="H201" s="726"/>
      <c r="I201" s="726"/>
      <c r="J201" s="726"/>
      <c r="K201" s="726"/>
      <c r="L201" s="726"/>
    </row>
    <row r="202" spans="1:47" ht="15">
      <c r="A202" s="88"/>
      <c r="B202" s="591" t="s">
        <v>345</v>
      </c>
      <c r="C202" s="710" t="s">
        <v>346</v>
      </c>
      <c r="D202" s="711"/>
      <c r="E202" s="711"/>
      <c r="F202" s="88" t="s">
        <v>70</v>
      </c>
      <c r="G202" s="88" t="s">
        <v>70</v>
      </c>
      <c r="H202" s="624" t="s">
        <v>70</v>
      </c>
      <c r="I202" s="90">
        <f>SUM(I203:I203)</f>
        <v>0</v>
      </c>
      <c r="J202" s="90">
        <f>SUM(J203:J203)</f>
        <v>0</v>
      </c>
      <c r="K202" s="90">
        <f>SUM(K203:K203)</f>
        <v>0</v>
      </c>
      <c r="L202" s="91"/>
      <c r="AI202" s="67" t="s">
        <v>150</v>
      </c>
      <c r="AS202" s="68">
        <f>SUM(AJ203:AJ203)</f>
        <v>0</v>
      </c>
      <c r="AT202" s="68">
        <f>SUM(AK203:AK203)</f>
        <v>0</v>
      </c>
      <c r="AU202" s="68">
        <f>SUM(AL203:AL203)</f>
        <v>0</v>
      </c>
    </row>
    <row r="203" spans="1:62" ht="15">
      <c r="A203" s="589" t="s">
        <v>530</v>
      </c>
      <c r="B203" s="589" t="s">
        <v>684</v>
      </c>
      <c r="C203" s="696" t="s">
        <v>685</v>
      </c>
      <c r="D203" s="693"/>
      <c r="E203" s="693"/>
      <c r="F203" s="589" t="s">
        <v>132</v>
      </c>
      <c r="G203" s="70">
        <v>108.3</v>
      </c>
      <c r="H203" s="580">
        <v>0</v>
      </c>
      <c r="I203" s="70">
        <f>G203*AO203</f>
        <v>0</v>
      </c>
      <c r="J203" s="70">
        <f>G203*AP203</f>
        <v>0</v>
      </c>
      <c r="K203" s="70">
        <f>G203*H203</f>
        <v>0</v>
      </c>
      <c r="L203" s="71" t="s">
        <v>120</v>
      </c>
      <c r="Z203" s="70">
        <f>IF(AQ203="5",BJ203,0)</f>
        <v>0</v>
      </c>
      <c r="AB203" s="70">
        <f>IF(AQ203="1",BH203,0)</f>
        <v>0</v>
      </c>
      <c r="AC203" s="70">
        <f>IF(AQ203="1",BI203,0)</f>
        <v>0</v>
      </c>
      <c r="AD203" s="70">
        <f>IF(AQ203="7",BH203,0)</f>
        <v>0</v>
      </c>
      <c r="AE203" s="70">
        <f>IF(AQ203="7",BI203,0)</f>
        <v>0</v>
      </c>
      <c r="AF203" s="70">
        <f>IF(AQ203="2",BH203,0)</f>
        <v>0</v>
      </c>
      <c r="AG203" s="70">
        <f>IF(AQ203="2",BI203,0)</f>
        <v>0</v>
      </c>
      <c r="AH203" s="70">
        <f>IF(AQ203="0",BJ203,0)</f>
        <v>0</v>
      </c>
      <c r="AI203" s="67" t="s">
        <v>150</v>
      </c>
      <c r="AJ203" s="70">
        <f>IF(AN203=0,K203,0)</f>
        <v>0</v>
      </c>
      <c r="AK203" s="70">
        <f>IF(AN203=15,K203,0)</f>
        <v>0</v>
      </c>
      <c r="AL203" s="70">
        <f>IF(AN203=21,K203,0)</f>
        <v>0</v>
      </c>
      <c r="AN203" s="70">
        <v>21</v>
      </c>
      <c r="AO203" s="70">
        <f>H203*0</f>
        <v>0</v>
      </c>
      <c r="AP203" s="70">
        <f>H203*(1-0)</f>
        <v>0</v>
      </c>
      <c r="AQ203" s="71" t="s">
        <v>124</v>
      </c>
      <c r="AV203" s="70">
        <f>AW203+AX203</f>
        <v>0</v>
      </c>
      <c r="AW203" s="70">
        <f>G203*AO203</f>
        <v>0</v>
      </c>
      <c r="AX203" s="70">
        <f>G203*AP203</f>
        <v>0</v>
      </c>
      <c r="AY203" s="71" t="s">
        <v>350</v>
      </c>
      <c r="AZ203" s="71" t="s">
        <v>1170</v>
      </c>
      <c r="BA203" s="67" t="s">
        <v>1158</v>
      </c>
      <c r="BC203" s="70">
        <f>AW203+AX203</f>
        <v>0</v>
      </c>
      <c r="BD203" s="70">
        <f>H203/(100-BE203)*100</f>
        <v>0</v>
      </c>
      <c r="BE203" s="70">
        <v>0</v>
      </c>
      <c r="BF203" s="70">
        <f>203</f>
        <v>203</v>
      </c>
      <c r="BH203" s="70">
        <f>G203*AO203</f>
        <v>0</v>
      </c>
      <c r="BI203" s="70">
        <f>G203*AP203</f>
        <v>0</v>
      </c>
      <c r="BJ203" s="70">
        <f>G203*H203</f>
        <v>0</v>
      </c>
    </row>
    <row r="204" spans="1:47" ht="15">
      <c r="A204" s="88"/>
      <c r="B204" s="591"/>
      <c r="C204" s="710" t="s">
        <v>52</v>
      </c>
      <c r="D204" s="711"/>
      <c r="E204" s="711"/>
      <c r="F204" s="88" t="s">
        <v>70</v>
      </c>
      <c r="G204" s="88" t="s">
        <v>70</v>
      </c>
      <c r="H204" s="624" t="s">
        <v>70</v>
      </c>
      <c r="I204" s="90">
        <f>SUM(I205:I207)</f>
        <v>0</v>
      </c>
      <c r="J204" s="90">
        <f>SUM(J205:J207)</f>
        <v>0</v>
      </c>
      <c r="K204" s="90">
        <f>SUM(K205:K207)</f>
        <v>0</v>
      </c>
      <c r="L204" s="91"/>
      <c r="AI204" s="67" t="s">
        <v>150</v>
      </c>
      <c r="AS204" s="68">
        <f>SUM(AJ205:AJ207)</f>
        <v>0</v>
      </c>
      <c r="AT204" s="68">
        <f>SUM(AK205:AK207)</f>
        <v>0</v>
      </c>
      <c r="AU204" s="68">
        <f>SUM(AL205:AL207)</f>
        <v>0</v>
      </c>
    </row>
    <row r="205" spans="1:62" ht="15">
      <c r="A205" s="589" t="s">
        <v>534</v>
      </c>
      <c r="B205" s="589" t="s">
        <v>1116</v>
      </c>
      <c r="C205" s="696" t="s">
        <v>1171</v>
      </c>
      <c r="D205" s="693"/>
      <c r="E205" s="693"/>
      <c r="F205" s="589" t="s">
        <v>209</v>
      </c>
      <c r="G205" s="70">
        <v>455</v>
      </c>
      <c r="H205" s="580">
        <v>0</v>
      </c>
      <c r="I205" s="70">
        <f>G205*AO205</f>
        <v>0</v>
      </c>
      <c r="J205" s="70">
        <f>G205*AP205</f>
        <v>0</v>
      </c>
      <c r="K205" s="70">
        <f>G205*H205</f>
        <v>0</v>
      </c>
      <c r="L205" s="71"/>
      <c r="Z205" s="70">
        <f>IF(AQ205="5",BJ205,0)</f>
        <v>0</v>
      </c>
      <c r="AB205" s="70">
        <f>IF(AQ205="1",BH205,0)</f>
        <v>0</v>
      </c>
      <c r="AC205" s="70">
        <f>IF(AQ205="1",BI205,0)</f>
        <v>0</v>
      </c>
      <c r="AD205" s="70">
        <f>IF(AQ205="7",BH205,0)</f>
        <v>0</v>
      </c>
      <c r="AE205" s="70">
        <f>IF(AQ205="7",BI205,0)</f>
        <v>0</v>
      </c>
      <c r="AF205" s="70">
        <f>IF(AQ205="2",BH205,0)</f>
        <v>0</v>
      </c>
      <c r="AG205" s="70">
        <f>IF(AQ205="2",BI205,0)</f>
        <v>0</v>
      </c>
      <c r="AH205" s="70">
        <f>IF(AQ205="0",BJ205,0)</f>
        <v>0</v>
      </c>
      <c r="AI205" s="67" t="s">
        <v>150</v>
      </c>
      <c r="AJ205" s="70">
        <f>IF(AN205=0,K205,0)</f>
        <v>0</v>
      </c>
      <c r="AK205" s="70">
        <f>IF(AN205=15,K205,0)</f>
        <v>0</v>
      </c>
      <c r="AL205" s="70">
        <f>IF(AN205=21,K205,0)</f>
        <v>0</v>
      </c>
      <c r="AN205" s="70">
        <v>21</v>
      </c>
      <c r="AO205" s="70">
        <f>H205*1</f>
        <v>0</v>
      </c>
      <c r="AP205" s="70">
        <f>H205*(1-1)</f>
        <v>0</v>
      </c>
      <c r="AQ205" s="71" t="s">
        <v>355</v>
      </c>
      <c r="AV205" s="70">
        <f>AW205+AX205</f>
        <v>0</v>
      </c>
      <c r="AW205" s="70">
        <f>G205*AO205</f>
        <v>0</v>
      </c>
      <c r="AX205" s="70">
        <f>G205*AP205</f>
        <v>0</v>
      </c>
      <c r="AY205" s="71" t="s">
        <v>356</v>
      </c>
      <c r="AZ205" s="71" t="s">
        <v>1172</v>
      </c>
      <c r="BA205" s="67" t="s">
        <v>1158</v>
      </c>
      <c r="BC205" s="70">
        <f>AW205+AX205</f>
        <v>0</v>
      </c>
      <c r="BD205" s="70">
        <f>H205/(100-BE205)*100</f>
        <v>0</v>
      </c>
      <c r="BE205" s="70">
        <v>0</v>
      </c>
      <c r="BF205" s="70">
        <f>205</f>
        <v>205</v>
      </c>
      <c r="BH205" s="70">
        <f>G205*AO205</f>
        <v>0</v>
      </c>
      <c r="BI205" s="70">
        <f>G205*AP205</f>
        <v>0</v>
      </c>
      <c r="BJ205" s="70">
        <f>G205*H205</f>
        <v>0</v>
      </c>
    </row>
    <row r="206" spans="1:62" ht="15">
      <c r="A206" s="589" t="s">
        <v>535</v>
      </c>
      <c r="B206" s="589" t="s">
        <v>1118</v>
      </c>
      <c r="C206" s="696" t="s">
        <v>1173</v>
      </c>
      <c r="D206" s="693"/>
      <c r="E206" s="693"/>
      <c r="F206" s="589" t="s">
        <v>306</v>
      </c>
      <c r="G206" s="70">
        <v>1910</v>
      </c>
      <c r="H206" s="580">
        <v>0</v>
      </c>
      <c r="I206" s="70">
        <f>G206*AO206</f>
        <v>0</v>
      </c>
      <c r="J206" s="70">
        <f>G206*AP206</f>
        <v>0</v>
      </c>
      <c r="K206" s="70">
        <f>G206*H206</f>
        <v>0</v>
      </c>
      <c r="L206" s="71"/>
      <c r="Z206" s="70">
        <f>IF(AQ206="5",BJ206,0)</f>
        <v>0</v>
      </c>
      <c r="AB206" s="70">
        <f>IF(AQ206="1",BH206,0)</f>
        <v>0</v>
      </c>
      <c r="AC206" s="70">
        <f>IF(AQ206="1",BI206,0)</f>
        <v>0</v>
      </c>
      <c r="AD206" s="70">
        <f>IF(AQ206="7",BH206,0)</f>
        <v>0</v>
      </c>
      <c r="AE206" s="70">
        <f>IF(AQ206="7",BI206,0)</f>
        <v>0</v>
      </c>
      <c r="AF206" s="70">
        <f>IF(AQ206="2",BH206,0)</f>
        <v>0</v>
      </c>
      <c r="AG206" s="70">
        <f>IF(AQ206="2",BI206,0)</f>
        <v>0</v>
      </c>
      <c r="AH206" s="70">
        <f>IF(AQ206="0",BJ206,0)</f>
        <v>0</v>
      </c>
      <c r="AI206" s="67" t="s">
        <v>150</v>
      </c>
      <c r="AJ206" s="70">
        <f>IF(AN206=0,K206,0)</f>
        <v>0</v>
      </c>
      <c r="AK206" s="70">
        <f>IF(AN206=15,K206,0)</f>
        <v>0</v>
      </c>
      <c r="AL206" s="70">
        <f>IF(AN206=21,K206,0)</f>
        <v>0</v>
      </c>
      <c r="AN206" s="70">
        <v>21</v>
      </c>
      <c r="AO206" s="70">
        <f>H206*1</f>
        <v>0</v>
      </c>
      <c r="AP206" s="70">
        <f>H206*(1-1)</f>
        <v>0</v>
      </c>
      <c r="AQ206" s="71" t="s">
        <v>355</v>
      </c>
      <c r="AV206" s="70">
        <f>AW206+AX206</f>
        <v>0</v>
      </c>
      <c r="AW206" s="70">
        <f>G206*AO206</f>
        <v>0</v>
      </c>
      <c r="AX206" s="70">
        <f>G206*AP206</f>
        <v>0</v>
      </c>
      <c r="AY206" s="71" t="s">
        <v>356</v>
      </c>
      <c r="AZ206" s="71" t="s">
        <v>1172</v>
      </c>
      <c r="BA206" s="67" t="s">
        <v>1158</v>
      </c>
      <c r="BC206" s="70">
        <f>AW206+AX206</f>
        <v>0</v>
      </c>
      <c r="BD206" s="70">
        <f>H206/(100-BE206)*100</f>
        <v>0</v>
      </c>
      <c r="BE206" s="70">
        <v>0</v>
      </c>
      <c r="BF206" s="70">
        <f>206</f>
        <v>206</v>
      </c>
      <c r="BH206" s="70">
        <f>G206*AO206</f>
        <v>0</v>
      </c>
      <c r="BI206" s="70">
        <f>G206*AP206</f>
        <v>0</v>
      </c>
      <c r="BJ206" s="70">
        <f>G206*H206</f>
        <v>0</v>
      </c>
    </row>
    <row r="207" spans="1:62" ht="15">
      <c r="A207" s="621" t="s">
        <v>537</v>
      </c>
      <c r="B207" s="621" t="s">
        <v>1174</v>
      </c>
      <c r="C207" s="758" t="s">
        <v>1175</v>
      </c>
      <c r="D207" s="759"/>
      <c r="E207" s="759"/>
      <c r="F207" s="621" t="s">
        <v>109</v>
      </c>
      <c r="G207" s="622">
        <v>655</v>
      </c>
      <c r="H207" s="627">
        <v>0</v>
      </c>
      <c r="I207" s="622">
        <f>G207*AO207</f>
        <v>0</v>
      </c>
      <c r="J207" s="622">
        <f>G207*AP207</f>
        <v>0</v>
      </c>
      <c r="K207" s="622">
        <f>G207*H207</f>
        <v>0</v>
      </c>
      <c r="L207" s="623" t="s">
        <v>120</v>
      </c>
      <c r="Z207" s="70">
        <f>IF(AQ207="5",BJ207,0)</f>
        <v>0</v>
      </c>
      <c r="AB207" s="70">
        <f>IF(AQ207="1",BH207,0)</f>
        <v>0</v>
      </c>
      <c r="AC207" s="70">
        <f>IF(AQ207="1",BI207,0)</f>
        <v>0</v>
      </c>
      <c r="AD207" s="70">
        <f>IF(AQ207="7",BH207,0)</f>
        <v>0</v>
      </c>
      <c r="AE207" s="70">
        <f>IF(AQ207="7",BI207,0)</f>
        <v>0</v>
      </c>
      <c r="AF207" s="70">
        <f>IF(AQ207="2",BH207,0)</f>
        <v>0</v>
      </c>
      <c r="AG207" s="70">
        <f>IF(AQ207="2",BI207,0)</f>
        <v>0</v>
      </c>
      <c r="AH207" s="70">
        <f>IF(AQ207="0",BJ207,0)</f>
        <v>0</v>
      </c>
      <c r="AI207" s="67" t="s">
        <v>150</v>
      </c>
      <c r="AJ207" s="70">
        <f>IF(AN207=0,K207,0)</f>
        <v>0</v>
      </c>
      <c r="AK207" s="70">
        <f>IF(AN207=15,K207,0)</f>
        <v>0</v>
      </c>
      <c r="AL207" s="70">
        <f>IF(AN207=21,K207,0)</f>
        <v>0</v>
      </c>
      <c r="AN207" s="70">
        <v>21</v>
      </c>
      <c r="AO207" s="70">
        <f>H207*1</f>
        <v>0</v>
      </c>
      <c r="AP207" s="70">
        <f>H207*(1-1)</f>
        <v>0</v>
      </c>
      <c r="AQ207" s="71" t="s">
        <v>355</v>
      </c>
      <c r="AV207" s="70">
        <f>AW207+AX207</f>
        <v>0</v>
      </c>
      <c r="AW207" s="70">
        <f>G207*AO207</f>
        <v>0</v>
      </c>
      <c r="AX207" s="70">
        <f>G207*AP207</f>
        <v>0</v>
      </c>
      <c r="AY207" s="71" t="s">
        <v>356</v>
      </c>
      <c r="AZ207" s="71" t="s">
        <v>1172</v>
      </c>
      <c r="BA207" s="67" t="s">
        <v>1158</v>
      </c>
      <c r="BC207" s="70">
        <f>AW207+AX207</f>
        <v>0</v>
      </c>
      <c r="BD207" s="70">
        <f>H207/(100-BE207)*100</f>
        <v>0</v>
      </c>
      <c r="BE207" s="70">
        <v>0</v>
      </c>
      <c r="BF207" s="70">
        <f>207</f>
        <v>207</v>
      </c>
      <c r="BH207" s="70">
        <f>G207*AO207</f>
        <v>0</v>
      </c>
      <c r="BI207" s="70">
        <f>G207*AP207</f>
        <v>0</v>
      </c>
      <c r="BJ207" s="70">
        <f>G207*H207</f>
        <v>0</v>
      </c>
    </row>
    <row r="208" spans="1:12" ht="15">
      <c r="A208" s="85"/>
      <c r="B208" s="85"/>
      <c r="C208" s="85"/>
      <c r="D208" s="85"/>
      <c r="E208" s="85"/>
      <c r="F208" s="85"/>
      <c r="G208" s="85"/>
      <c r="H208" s="85"/>
      <c r="I208" s="738" t="s">
        <v>911</v>
      </c>
      <c r="J208" s="739"/>
      <c r="K208" s="86">
        <f>K13+K15+K17+K19+K22+K27+K33+K36+K38+K49+K52+K54+K67+K95+K98+K100+K118+K131+K133+K136+K138+K150+K153+K156+K167+K169+K175+K180+K182+K189+K199+K202+K204</f>
        <v>0</v>
      </c>
      <c r="L208" s="85"/>
    </row>
    <row r="209" ht="10.8" customHeight="1">
      <c r="A209" s="87" t="s">
        <v>67</v>
      </c>
    </row>
    <row r="210" spans="1:12" ht="12.75" customHeight="1">
      <c r="A210" s="695"/>
      <c r="B210" s="693"/>
      <c r="C210" s="693"/>
      <c r="D210" s="693"/>
      <c r="E210" s="693"/>
      <c r="F210" s="693"/>
      <c r="G210" s="693"/>
      <c r="H210" s="693"/>
      <c r="I210" s="693"/>
      <c r="J210" s="693"/>
      <c r="K210" s="693"/>
      <c r="L210" s="693"/>
    </row>
  </sheetData>
  <sheetProtection algorithmName="SHA-512" hashValue="pz+in31H0zAem40KuQpuo4rQBK/G5cVyNLazJf8ZnvuBBAUboTIUpnvYDSTBJGwBg5B77LXzW7Vz7fQ02AzvsA==" saltValue="r8jdE84fp9pCL4ldoIxAmQ==" spinCount="100000" sheet="1" objects="1" scenarios="1"/>
  <mergeCells count="226">
    <mergeCell ref="C207:E207"/>
    <mergeCell ref="I208:J208"/>
    <mergeCell ref="A210:L210"/>
    <mergeCell ref="C201:L201"/>
    <mergeCell ref="C202:E202"/>
    <mergeCell ref="C203:E203"/>
    <mergeCell ref="C204:E204"/>
    <mergeCell ref="C205:E205"/>
    <mergeCell ref="C206:E206"/>
    <mergeCell ref="C195:E195"/>
    <mergeCell ref="C196:E196"/>
    <mergeCell ref="C197:L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L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L135"/>
    <mergeCell ref="C136:E136"/>
    <mergeCell ref="C137:E137"/>
    <mergeCell ref="C138:E138"/>
    <mergeCell ref="C139:E139"/>
    <mergeCell ref="C140:L140"/>
    <mergeCell ref="C129:E129"/>
    <mergeCell ref="C130:E130"/>
    <mergeCell ref="C131:E131"/>
    <mergeCell ref="C132:E132"/>
    <mergeCell ref="C133:E133"/>
    <mergeCell ref="C134:E134"/>
    <mergeCell ref="C123:E123"/>
    <mergeCell ref="C124:L124"/>
    <mergeCell ref="C125:E125"/>
    <mergeCell ref="C126:L126"/>
    <mergeCell ref="C127:E127"/>
    <mergeCell ref="C128:E128"/>
    <mergeCell ref="C117:E117"/>
    <mergeCell ref="C118:E118"/>
    <mergeCell ref="C119:E119"/>
    <mergeCell ref="C120:L120"/>
    <mergeCell ref="C121:E121"/>
    <mergeCell ref="C122:E122"/>
    <mergeCell ref="C111:L111"/>
    <mergeCell ref="C112:E112"/>
    <mergeCell ref="C113:L113"/>
    <mergeCell ref="C114:E114"/>
    <mergeCell ref="C115:E115"/>
    <mergeCell ref="C116:E116"/>
    <mergeCell ref="C105:E105"/>
    <mergeCell ref="C106:L106"/>
    <mergeCell ref="C107:E107"/>
    <mergeCell ref="C108:E108"/>
    <mergeCell ref="C109:L109"/>
    <mergeCell ref="C110:E110"/>
    <mergeCell ref="C99:E99"/>
    <mergeCell ref="C100:E100"/>
    <mergeCell ref="C101:E101"/>
    <mergeCell ref="C102:L102"/>
    <mergeCell ref="C103:E103"/>
    <mergeCell ref="C104:L104"/>
    <mergeCell ref="C93:L93"/>
    <mergeCell ref="C94:E94"/>
    <mergeCell ref="C95:E95"/>
    <mergeCell ref="C96:E96"/>
    <mergeCell ref="C97:L97"/>
    <mergeCell ref="C98:E98"/>
    <mergeCell ref="C87:E87"/>
    <mergeCell ref="C88:L88"/>
    <mergeCell ref="C89:E89"/>
    <mergeCell ref="C90:L90"/>
    <mergeCell ref="C91:E91"/>
    <mergeCell ref="C92:E92"/>
    <mergeCell ref="C81:E81"/>
    <mergeCell ref="C82:E82"/>
    <mergeCell ref="C83:E83"/>
    <mergeCell ref="C84:E84"/>
    <mergeCell ref="C85:E85"/>
    <mergeCell ref="C86:L86"/>
    <mergeCell ref="C75:E75"/>
    <mergeCell ref="C76:L76"/>
    <mergeCell ref="C77:E77"/>
    <mergeCell ref="C78:E78"/>
    <mergeCell ref="C79:E79"/>
    <mergeCell ref="C80:E80"/>
    <mergeCell ref="C69:L69"/>
    <mergeCell ref="C70:E70"/>
    <mergeCell ref="C71:E71"/>
    <mergeCell ref="C72:L72"/>
    <mergeCell ref="C73:E73"/>
    <mergeCell ref="C74:L74"/>
    <mergeCell ref="C63:E63"/>
    <mergeCell ref="C64:E64"/>
    <mergeCell ref="C65:L65"/>
    <mergeCell ref="C66:E66"/>
    <mergeCell ref="C67:E67"/>
    <mergeCell ref="C68:E68"/>
    <mergeCell ref="C57:E57"/>
    <mergeCell ref="C58:E58"/>
    <mergeCell ref="C59:E59"/>
    <mergeCell ref="C60:E60"/>
    <mergeCell ref="C61:E61"/>
    <mergeCell ref="C62:L62"/>
    <mergeCell ref="C51:L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L29"/>
    <mergeCell ref="C30:E30"/>
    <mergeCell ref="C31:L31"/>
    <mergeCell ref="C32:E32"/>
    <mergeCell ref="C21:L21"/>
    <mergeCell ref="C22:E22"/>
    <mergeCell ref="C23:E23"/>
    <mergeCell ref="C24:L24"/>
    <mergeCell ref="C25:E25"/>
    <mergeCell ref="C26:L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C7BF-B4F2-4D0B-AACA-69F234F390D2}">
  <sheetPr>
    <tabColor theme="4" tint="0.7999799847602844"/>
  </sheetPr>
  <dimension ref="A1:K214"/>
  <sheetViews>
    <sheetView zoomScale="115" zoomScaleNormal="115" workbookViewId="0" topLeftCell="A4">
      <selection activeCell="K24" sqref="K24"/>
    </sheetView>
  </sheetViews>
  <sheetFormatPr defaultColWidth="8.8515625" defaultRowHeight="15"/>
  <cols>
    <col min="1" max="1" width="5.57421875" style="609" bestFit="1" customWidth="1"/>
    <col min="2" max="2" width="27.00390625" style="593" bestFit="1" customWidth="1"/>
    <col min="3" max="3" width="7.421875" style="609" customWidth="1"/>
    <col min="4" max="4" width="4.7109375" style="609" bestFit="1" customWidth="1"/>
    <col min="5" max="5" width="8.00390625" style="609" customWidth="1"/>
    <col min="6" max="6" width="7.00390625" style="609" bestFit="1" customWidth="1"/>
    <col min="7" max="7" width="11.421875" style="593" customWidth="1"/>
    <col min="8" max="16384" width="8.8515625" style="593" customWidth="1"/>
  </cols>
  <sheetData>
    <row r="1" spans="1:6" ht="15">
      <c r="A1" s="760" t="s">
        <v>2013</v>
      </c>
      <c r="B1" s="760"/>
      <c r="C1" s="760"/>
      <c r="D1" s="760"/>
      <c r="E1" s="760"/>
      <c r="F1" s="760"/>
    </row>
    <row r="2" spans="1:11" ht="15">
      <c r="A2" s="594"/>
      <c r="B2" s="595" t="s">
        <v>2014</v>
      </c>
      <c r="C2" s="596"/>
      <c r="D2" s="596"/>
      <c r="E2" s="596"/>
      <c r="F2" s="596"/>
      <c r="G2" s="597"/>
      <c r="H2" s="597"/>
      <c r="I2" s="597"/>
      <c r="J2" s="597"/>
      <c r="K2" s="597"/>
    </row>
    <row r="3" spans="1:6" s="602" customFormat="1" ht="40.2" customHeight="1">
      <c r="A3" s="598" t="s">
        <v>2015</v>
      </c>
      <c r="B3" s="599" t="s">
        <v>2016</v>
      </c>
      <c r="C3" s="600" t="s">
        <v>2017</v>
      </c>
      <c r="D3" s="600" t="s">
        <v>2018</v>
      </c>
      <c r="E3" s="601" t="s">
        <v>2019</v>
      </c>
      <c r="F3" s="601" t="s">
        <v>2020</v>
      </c>
    </row>
    <row r="4" spans="1:6" ht="15">
      <c r="A4" s="603" t="s">
        <v>2021</v>
      </c>
      <c r="B4" s="604" t="s">
        <v>2022</v>
      </c>
      <c r="C4" s="605">
        <v>1</v>
      </c>
      <c r="D4" s="606"/>
      <c r="E4" s="605" t="s">
        <v>2023</v>
      </c>
      <c r="F4" s="607">
        <v>4</v>
      </c>
    </row>
    <row r="5" spans="1:6" ht="15">
      <c r="A5" s="608" t="s">
        <v>2024</v>
      </c>
      <c r="B5" s="604" t="s">
        <v>2025</v>
      </c>
      <c r="C5" s="606">
        <v>2</v>
      </c>
      <c r="D5" s="606"/>
      <c r="E5" s="605" t="s">
        <v>2023</v>
      </c>
      <c r="F5" s="607">
        <v>25</v>
      </c>
    </row>
    <row r="6" spans="1:6" ht="15">
      <c r="A6" s="603" t="s">
        <v>2026</v>
      </c>
      <c r="B6" s="604" t="s">
        <v>2027</v>
      </c>
      <c r="C6" s="605" t="s">
        <v>145</v>
      </c>
      <c r="D6" s="606"/>
      <c r="E6" s="605" t="s">
        <v>2028</v>
      </c>
      <c r="F6" s="607">
        <v>80</v>
      </c>
    </row>
    <row r="7" spans="1:6" ht="15">
      <c r="A7" s="603" t="s">
        <v>2029</v>
      </c>
      <c r="B7" s="604" t="s">
        <v>2030</v>
      </c>
      <c r="C7" s="605">
        <v>1</v>
      </c>
      <c r="D7" s="606"/>
      <c r="E7" s="605" t="s">
        <v>2031</v>
      </c>
      <c r="F7" s="607">
        <v>5</v>
      </c>
    </row>
    <row r="8" spans="1:6" ht="15">
      <c r="A8" s="603" t="s">
        <v>2032</v>
      </c>
      <c r="B8" s="604" t="s">
        <v>2033</v>
      </c>
      <c r="C8" s="605">
        <v>2</v>
      </c>
      <c r="D8" s="606"/>
      <c r="E8" s="605" t="s">
        <v>2023</v>
      </c>
      <c r="F8" s="607">
        <v>8</v>
      </c>
    </row>
    <row r="9" spans="1:6" ht="15">
      <c r="A9" s="603" t="s">
        <v>2034</v>
      </c>
      <c r="B9" s="604" t="s">
        <v>2035</v>
      </c>
      <c r="C9" s="605">
        <v>2</v>
      </c>
      <c r="D9" s="606"/>
      <c r="E9" s="605" t="s">
        <v>2023</v>
      </c>
      <c r="F9" s="607">
        <v>4</v>
      </c>
    </row>
    <row r="10" spans="1:6" ht="15">
      <c r="A10" s="603" t="s">
        <v>2036</v>
      </c>
      <c r="B10" s="604" t="s">
        <v>2037</v>
      </c>
      <c r="C10" s="605">
        <v>3</v>
      </c>
      <c r="D10" s="606"/>
      <c r="E10" s="605" t="s">
        <v>2023</v>
      </c>
      <c r="F10" s="607">
        <v>6</v>
      </c>
    </row>
    <row r="11" spans="1:6" ht="15">
      <c r="A11" s="603" t="s">
        <v>2038</v>
      </c>
      <c r="B11" s="604" t="s">
        <v>2039</v>
      </c>
      <c r="C11" s="605">
        <v>1</v>
      </c>
      <c r="D11" s="606"/>
      <c r="E11" s="605" t="s">
        <v>2023</v>
      </c>
      <c r="F11" s="607">
        <v>3</v>
      </c>
    </row>
    <row r="12" spans="1:6" ht="15">
      <c r="A12" s="603" t="s">
        <v>2040</v>
      </c>
      <c r="B12" s="604" t="s">
        <v>2041</v>
      </c>
      <c r="C12" s="605">
        <v>2</v>
      </c>
      <c r="D12" s="606"/>
      <c r="E12" s="605" t="s">
        <v>2023</v>
      </c>
      <c r="F12" s="607">
        <v>4</v>
      </c>
    </row>
    <row r="13" spans="1:6" ht="15">
      <c r="A13" s="603" t="s">
        <v>2042</v>
      </c>
      <c r="B13" s="604" t="s">
        <v>2043</v>
      </c>
      <c r="C13" s="605">
        <v>3</v>
      </c>
      <c r="D13" s="606"/>
      <c r="E13" s="605" t="s">
        <v>2023</v>
      </c>
      <c r="F13" s="607">
        <v>6</v>
      </c>
    </row>
    <row r="14" spans="1:6" ht="15">
      <c r="A14" s="603">
        <v>32</v>
      </c>
      <c r="B14" s="604" t="s">
        <v>2044</v>
      </c>
      <c r="C14" s="605" t="s">
        <v>136</v>
      </c>
      <c r="D14" s="606"/>
      <c r="E14" s="605" t="s">
        <v>2045</v>
      </c>
      <c r="F14" s="607">
        <v>130</v>
      </c>
    </row>
    <row r="15" spans="2:6" ht="15">
      <c r="B15" s="610"/>
      <c r="C15" s="611"/>
      <c r="E15" s="611"/>
      <c r="F15" s="597"/>
    </row>
    <row r="16" spans="1:11" ht="15">
      <c r="A16" s="594"/>
      <c r="B16" s="595" t="s">
        <v>2046</v>
      </c>
      <c r="C16" s="596"/>
      <c r="D16" s="596"/>
      <c r="E16" s="596"/>
      <c r="F16" s="596"/>
      <c r="G16" s="597"/>
      <c r="H16" s="597"/>
      <c r="I16" s="597"/>
      <c r="J16" s="597"/>
      <c r="K16" s="597"/>
    </row>
    <row r="17" spans="1:6" s="602" customFormat="1" ht="40.2" customHeight="1">
      <c r="A17" s="598" t="s">
        <v>2015</v>
      </c>
      <c r="B17" s="599" t="s">
        <v>2016</v>
      </c>
      <c r="C17" s="600" t="s">
        <v>2017</v>
      </c>
      <c r="D17" s="600" t="s">
        <v>2018</v>
      </c>
      <c r="E17" s="601" t="s">
        <v>2019</v>
      </c>
      <c r="F17" s="601" t="s">
        <v>2020</v>
      </c>
    </row>
    <row r="18" spans="1:6" ht="15">
      <c r="A18" s="603" t="s">
        <v>2021</v>
      </c>
      <c r="B18" s="604" t="s">
        <v>2022</v>
      </c>
      <c r="C18" s="605">
        <v>1</v>
      </c>
      <c r="D18" s="606"/>
      <c r="E18" s="605" t="s">
        <v>2023</v>
      </c>
      <c r="F18" s="607">
        <v>2</v>
      </c>
    </row>
    <row r="19" spans="1:6" ht="15">
      <c r="A19" s="608" t="s">
        <v>2024</v>
      </c>
      <c r="B19" s="604" t="s">
        <v>2025</v>
      </c>
      <c r="C19" s="606">
        <v>2</v>
      </c>
      <c r="D19" s="606"/>
      <c r="E19" s="605" t="s">
        <v>2023</v>
      </c>
      <c r="F19" s="607">
        <v>48</v>
      </c>
    </row>
    <row r="20" spans="1:6" ht="15">
      <c r="A20" s="603" t="s">
        <v>2026</v>
      </c>
      <c r="B20" s="604" t="s">
        <v>2027</v>
      </c>
      <c r="C20" s="605">
        <v>3</v>
      </c>
      <c r="D20" s="606"/>
      <c r="E20" s="605" t="s">
        <v>2028</v>
      </c>
      <c r="F20" s="607">
        <v>20</v>
      </c>
    </row>
    <row r="21" spans="1:6" ht="15">
      <c r="A21" s="603" t="s">
        <v>2029</v>
      </c>
      <c r="B21" s="604" t="s">
        <v>2030</v>
      </c>
      <c r="C21" s="605">
        <v>1</v>
      </c>
      <c r="D21" s="606"/>
      <c r="E21" s="605" t="s">
        <v>2031</v>
      </c>
      <c r="F21" s="607">
        <v>5</v>
      </c>
    </row>
    <row r="22" spans="1:6" ht="15">
      <c r="A22" s="603" t="s">
        <v>2032</v>
      </c>
      <c r="B22" s="604" t="s">
        <v>2033</v>
      </c>
      <c r="C22" s="605">
        <v>2</v>
      </c>
      <c r="D22" s="606"/>
      <c r="E22" s="605" t="s">
        <v>2023</v>
      </c>
      <c r="F22" s="607">
        <v>4</v>
      </c>
    </row>
    <row r="23" spans="1:6" ht="15">
      <c r="A23" s="603" t="s">
        <v>2047</v>
      </c>
      <c r="B23" s="604" t="s">
        <v>2048</v>
      </c>
      <c r="C23" s="605">
        <v>3</v>
      </c>
      <c r="D23" s="606"/>
      <c r="E23" s="605" t="s">
        <v>2023</v>
      </c>
      <c r="F23" s="607">
        <v>9</v>
      </c>
    </row>
    <row r="24" spans="1:6" ht="15">
      <c r="A24" s="603" t="s">
        <v>2040</v>
      </c>
      <c r="B24" s="604" t="s">
        <v>2041</v>
      </c>
      <c r="C24" s="605">
        <v>2</v>
      </c>
      <c r="D24" s="606"/>
      <c r="E24" s="605" t="s">
        <v>2023</v>
      </c>
      <c r="F24" s="607">
        <v>12</v>
      </c>
    </row>
    <row r="25" spans="1:6" ht="15">
      <c r="A25" s="603" t="s">
        <v>2042</v>
      </c>
      <c r="B25" s="604" t="s">
        <v>2043</v>
      </c>
      <c r="C25" s="605">
        <v>3</v>
      </c>
      <c r="D25" s="606"/>
      <c r="E25" s="605" t="s">
        <v>2023</v>
      </c>
      <c r="F25" s="607">
        <v>9</v>
      </c>
    </row>
    <row r="26" spans="1:6" ht="15">
      <c r="A26" s="603">
        <v>28</v>
      </c>
      <c r="B26" s="604" t="s">
        <v>2049</v>
      </c>
      <c r="C26" s="605" t="s">
        <v>129</v>
      </c>
      <c r="D26" s="606"/>
      <c r="E26" s="605" t="s">
        <v>2045</v>
      </c>
      <c r="F26" s="607">
        <v>127</v>
      </c>
    </row>
    <row r="27" spans="1:6" ht="15">
      <c r="A27" s="603">
        <v>32</v>
      </c>
      <c r="B27" s="604" t="s">
        <v>2044</v>
      </c>
      <c r="C27" s="605" t="s">
        <v>136</v>
      </c>
      <c r="D27" s="606"/>
      <c r="E27" s="605" t="s">
        <v>2045</v>
      </c>
      <c r="F27" s="607">
        <v>100</v>
      </c>
    </row>
    <row r="28" spans="2:6" ht="15">
      <c r="B28" s="610"/>
      <c r="C28" s="611"/>
      <c r="E28" s="611"/>
      <c r="F28" s="597"/>
    </row>
    <row r="29" spans="1:6" ht="15">
      <c r="A29" s="594"/>
      <c r="B29" s="595" t="s">
        <v>2050</v>
      </c>
      <c r="C29" s="596"/>
      <c r="D29" s="596"/>
      <c r="E29" s="596"/>
      <c r="F29" s="596"/>
    </row>
    <row r="30" spans="1:6" ht="40.2" customHeight="1">
      <c r="A30" s="598" t="s">
        <v>2015</v>
      </c>
      <c r="B30" s="599" t="s">
        <v>2016</v>
      </c>
      <c r="C30" s="600" t="s">
        <v>2017</v>
      </c>
      <c r="D30" s="600" t="s">
        <v>2018</v>
      </c>
      <c r="E30" s="601" t="s">
        <v>2019</v>
      </c>
      <c r="F30" s="601" t="s">
        <v>2020</v>
      </c>
    </row>
    <row r="31" spans="1:6" ht="15">
      <c r="A31" s="608" t="s">
        <v>2024</v>
      </c>
      <c r="B31" s="604" t="s">
        <v>2025</v>
      </c>
      <c r="C31" s="606">
        <v>2</v>
      </c>
      <c r="D31" s="606"/>
      <c r="E31" s="605" t="s">
        <v>2023</v>
      </c>
      <c r="F31" s="607">
        <v>12</v>
      </c>
    </row>
    <row r="32" spans="1:6" ht="15">
      <c r="A32" s="603" t="s">
        <v>2032</v>
      </c>
      <c r="B32" s="604" t="s">
        <v>2033</v>
      </c>
      <c r="C32" s="605">
        <v>2</v>
      </c>
      <c r="D32" s="606"/>
      <c r="E32" s="605" t="s">
        <v>2028</v>
      </c>
      <c r="F32" s="607">
        <v>48</v>
      </c>
    </row>
    <row r="33" spans="1:6" ht="15">
      <c r="A33" s="603" t="s">
        <v>2038</v>
      </c>
      <c r="B33" s="604" t="s">
        <v>2039</v>
      </c>
      <c r="C33" s="605">
        <v>1</v>
      </c>
      <c r="D33" s="606"/>
      <c r="E33" s="605" t="s">
        <v>2023</v>
      </c>
      <c r="F33" s="607">
        <v>12</v>
      </c>
    </row>
    <row r="34" spans="1:6" ht="15">
      <c r="A34" s="603" t="s">
        <v>2021</v>
      </c>
      <c r="B34" s="604" t="s">
        <v>2022</v>
      </c>
      <c r="C34" s="605">
        <v>1</v>
      </c>
      <c r="D34" s="606"/>
      <c r="E34" s="605" t="s">
        <v>2023</v>
      </c>
      <c r="F34" s="607">
        <v>4</v>
      </c>
    </row>
    <row r="35" spans="1:6" ht="15">
      <c r="A35" s="603">
        <v>32</v>
      </c>
      <c r="B35" s="604" t="s">
        <v>2044</v>
      </c>
      <c r="C35" s="605" t="s">
        <v>136</v>
      </c>
      <c r="D35" s="606"/>
      <c r="E35" s="605" t="s">
        <v>2045</v>
      </c>
      <c r="F35" s="607">
        <v>64</v>
      </c>
    </row>
    <row r="36" spans="2:6" ht="15">
      <c r="B36" s="610"/>
      <c r="C36" s="611"/>
      <c r="E36" s="611"/>
      <c r="F36" s="597"/>
    </row>
    <row r="37" spans="1:6" ht="15">
      <c r="A37" s="594"/>
      <c r="B37" s="595" t="s">
        <v>2051</v>
      </c>
      <c r="C37" s="596"/>
      <c r="D37" s="596"/>
      <c r="E37" s="596"/>
      <c r="F37" s="596"/>
    </row>
    <row r="38" spans="1:6" ht="40.2" customHeight="1">
      <c r="A38" s="598" t="s">
        <v>2015</v>
      </c>
      <c r="B38" s="599" t="s">
        <v>2016</v>
      </c>
      <c r="C38" s="600" t="s">
        <v>2017</v>
      </c>
      <c r="D38" s="600" t="s">
        <v>2018</v>
      </c>
      <c r="E38" s="601" t="s">
        <v>2019</v>
      </c>
      <c r="F38" s="601" t="s">
        <v>2020</v>
      </c>
    </row>
    <row r="39" spans="1:6" ht="15">
      <c r="A39" s="608" t="s">
        <v>2024</v>
      </c>
      <c r="B39" s="604" t="s">
        <v>2025</v>
      </c>
      <c r="C39" s="606">
        <v>2</v>
      </c>
      <c r="D39" s="606"/>
      <c r="E39" s="605" t="s">
        <v>2023</v>
      </c>
      <c r="F39" s="607">
        <v>12</v>
      </c>
    </row>
    <row r="40" spans="1:6" ht="15">
      <c r="A40" s="603" t="s">
        <v>2026</v>
      </c>
      <c r="B40" s="604" t="s">
        <v>2027</v>
      </c>
      <c r="C40" s="605">
        <v>3</v>
      </c>
      <c r="D40" s="606"/>
      <c r="E40" s="605" t="s">
        <v>2028</v>
      </c>
      <c r="F40" s="607">
        <v>48</v>
      </c>
    </row>
    <row r="41" spans="1:6" ht="15">
      <c r="A41" s="603" t="s">
        <v>2032</v>
      </c>
      <c r="B41" s="604" t="s">
        <v>2033</v>
      </c>
      <c r="C41" s="605">
        <v>2</v>
      </c>
      <c r="D41" s="606"/>
      <c r="E41" s="605" t="s">
        <v>2023</v>
      </c>
      <c r="F41" s="607">
        <v>12</v>
      </c>
    </row>
    <row r="42" spans="1:6" ht="15">
      <c r="A42" s="603" t="s">
        <v>2052</v>
      </c>
      <c r="B42" s="604" t="s">
        <v>2053</v>
      </c>
      <c r="C42" s="605" t="s">
        <v>124</v>
      </c>
      <c r="D42" s="606"/>
      <c r="E42" s="605" t="s">
        <v>2023</v>
      </c>
      <c r="F42" s="607">
        <v>24</v>
      </c>
    </row>
    <row r="43" spans="1:6" ht="15">
      <c r="A43" s="603">
        <v>32</v>
      </c>
      <c r="B43" s="604" t="s">
        <v>2044</v>
      </c>
      <c r="C43" s="605" t="s">
        <v>136</v>
      </c>
      <c r="D43" s="606"/>
      <c r="E43" s="605" t="s">
        <v>2045</v>
      </c>
      <c r="F43" s="607">
        <v>64</v>
      </c>
    </row>
    <row r="44" spans="2:6" ht="15">
      <c r="B44" s="610"/>
      <c r="C44" s="611"/>
      <c r="E44" s="611"/>
      <c r="F44" s="597"/>
    </row>
    <row r="45" spans="1:6" ht="15">
      <c r="A45" s="594"/>
      <c r="B45" s="595" t="s">
        <v>2054</v>
      </c>
      <c r="C45" s="596"/>
      <c r="D45" s="596"/>
      <c r="E45" s="596"/>
      <c r="F45" s="596"/>
    </row>
    <row r="46" spans="1:6" ht="40.2" customHeight="1">
      <c r="A46" s="598" t="s">
        <v>2015</v>
      </c>
      <c r="B46" s="599" t="s">
        <v>2016</v>
      </c>
      <c r="C46" s="600" t="s">
        <v>2017</v>
      </c>
      <c r="D46" s="600" t="s">
        <v>2018</v>
      </c>
      <c r="E46" s="601" t="s">
        <v>2019</v>
      </c>
      <c r="F46" s="601" t="s">
        <v>2020</v>
      </c>
    </row>
    <row r="47" spans="1:6" ht="15">
      <c r="A47" s="608" t="s">
        <v>2024</v>
      </c>
      <c r="B47" s="604" t="s">
        <v>2025</v>
      </c>
      <c r="C47" s="594">
        <v>2</v>
      </c>
      <c r="D47" s="594"/>
      <c r="E47" s="612" t="s">
        <v>2023</v>
      </c>
      <c r="F47" s="596">
        <v>20</v>
      </c>
    </row>
    <row r="48" spans="1:6" ht="15">
      <c r="A48" s="608" t="s">
        <v>2055</v>
      </c>
      <c r="B48" s="604" t="s">
        <v>2056</v>
      </c>
      <c r="C48" s="594">
        <v>1</v>
      </c>
      <c r="D48" s="594"/>
      <c r="E48" s="612" t="s">
        <v>2023</v>
      </c>
      <c r="F48" s="596">
        <v>10</v>
      </c>
    </row>
    <row r="49" spans="1:6" ht="15">
      <c r="A49" s="608" t="s">
        <v>2057</v>
      </c>
      <c r="B49" s="604" t="s">
        <v>2058</v>
      </c>
      <c r="C49" s="594">
        <v>1</v>
      </c>
      <c r="D49" s="594"/>
      <c r="E49" s="612" t="s">
        <v>2023</v>
      </c>
      <c r="F49" s="596">
        <v>8</v>
      </c>
    </row>
    <row r="50" spans="1:6" ht="15">
      <c r="A50" s="608" t="s">
        <v>2059</v>
      </c>
      <c r="B50" s="604" t="s">
        <v>2060</v>
      </c>
      <c r="C50" s="594">
        <v>2</v>
      </c>
      <c r="D50" s="594"/>
      <c r="E50" s="612" t="s">
        <v>2023</v>
      </c>
      <c r="F50" s="596">
        <v>148</v>
      </c>
    </row>
    <row r="51" spans="1:6" ht="15">
      <c r="A51" s="603">
        <v>23</v>
      </c>
      <c r="B51" s="604" t="s">
        <v>2061</v>
      </c>
      <c r="C51" s="605" t="s">
        <v>124</v>
      </c>
      <c r="D51" s="594"/>
      <c r="E51" s="605" t="s">
        <v>2062</v>
      </c>
      <c r="F51" s="596">
        <v>80</v>
      </c>
    </row>
    <row r="52" spans="1:6" ht="15">
      <c r="A52" s="603">
        <v>24</v>
      </c>
      <c r="B52" s="604" t="s">
        <v>2063</v>
      </c>
      <c r="C52" s="605" t="s">
        <v>139</v>
      </c>
      <c r="D52" s="594"/>
      <c r="E52" s="605" t="s">
        <v>2064</v>
      </c>
      <c r="F52" s="596">
        <v>126</v>
      </c>
    </row>
    <row r="53" spans="1:6" ht="15">
      <c r="A53" s="603">
        <v>25</v>
      </c>
      <c r="B53" s="604" t="s">
        <v>2065</v>
      </c>
      <c r="C53" s="605" t="s">
        <v>139</v>
      </c>
      <c r="D53" s="594"/>
      <c r="E53" s="605" t="s">
        <v>2064</v>
      </c>
      <c r="F53" s="596">
        <v>84</v>
      </c>
    </row>
    <row r="54" spans="1:6" ht="15">
      <c r="A54" s="603">
        <v>26</v>
      </c>
      <c r="B54" s="604" t="s">
        <v>2066</v>
      </c>
      <c r="C54" s="605" t="s">
        <v>145</v>
      </c>
      <c r="D54" s="594"/>
      <c r="E54" s="605" t="s">
        <v>2064</v>
      </c>
      <c r="F54" s="596">
        <v>99</v>
      </c>
    </row>
    <row r="55" spans="1:6" ht="15">
      <c r="A55" s="603">
        <v>27</v>
      </c>
      <c r="B55" s="604" t="s">
        <v>2067</v>
      </c>
      <c r="C55" s="605" t="s">
        <v>124</v>
      </c>
      <c r="D55" s="594"/>
      <c r="E55" s="605" t="s">
        <v>2064</v>
      </c>
      <c r="F55" s="596">
        <v>45</v>
      </c>
    </row>
    <row r="56" spans="1:6" ht="15">
      <c r="A56" s="603">
        <v>28</v>
      </c>
      <c r="B56" s="604" t="s">
        <v>2049</v>
      </c>
      <c r="C56" s="605" t="s">
        <v>129</v>
      </c>
      <c r="D56" s="594"/>
      <c r="E56" s="605" t="s">
        <v>2064</v>
      </c>
      <c r="F56" s="596">
        <v>110</v>
      </c>
    </row>
    <row r="57" spans="1:6" ht="15">
      <c r="A57" s="603">
        <v>29</v>
      </c>
      <c r="B57" s="604" t="s">
        <v>2068</v>
      </c>
      <c r="C57" s="605" t="s">
        <v>117</v>
      </c>
      <c r="D57" s="594"/>
      <c r="E57" s="605" t="s">
        <v>2062</v>
      </c>
      <c r="F57" s="596">
        <v>19</v>
      </c>
    </row>
    <row r="58" spans="1:6" ht="15">
      <c r="A58" s="603">
        <v>30</v>
      </c>
      <c r="B58" s="604" t="s">
        <v>2069</v>
      </c>
      <c r="C58" s="605" t="s">
        <v>121</v>
      </c>
      <c r="D58" s="594"/>
      <c r="E58" s="605" t="s">
        <v>2062</v>
      </c>
      <c r="F58" s="596">
        <v>36</v>
      </c>
    </row>
    <row r="59" spans="1:6" ht="15">
      <c r="A59" s="603">
        <v>31</v>
      </c>
      <c r="B59" s="604" t="s">
        <v>2070</v>
      </c>
      <c r="C59" s="605">
        <v>1</v>
      </c>
      <c r="D59" s="594"/>
      <c r="E59" s="605" t="s">
        <v>2062</v>
      </c>
      <c r="F59" s="596">
        <v>9</v>
      </c>
    </row>
    <row r="60" spans="2:6" ht="15">
      <c r="B60" s="610"/>
      <c r="C60" s="611"/>
      <c r="E60" s="611"/>
      <c r="F60" s="597"/>
    </row>
    <row r="61" spans="1:6" ht="15">
      <c r="A61" s="594"/>
      <c r="B61" s="595" t="s">
        <v>2071</v>
      </c>
      <c r="C61" s="596"/>
      <c r="D61" s="596"/>
      <c r="E61" s="596"/>
      <c r="F61" s="596"/>
    </row>
    <row r="62" spans="1:6" ht="40.2" customHeight="1">
      <c r="A62" s="598" t="s">
        <v>2015</v>
      </c>
      <c r="B62" s="599" t="s">
        <v>2016</v>
      </c>
      <c r="C62" s="600" t="s">
        <v>2017</v>
      </c>
      <c r="D62" s="600" t="s">
        <v>2018</v>
      </c>
      <c r="E62" s="601" t="s">
        <v>2019</v>
      </c>
      <c r="F62" s="601" t="s">
        <v>2020</v>
      </c>
    </row>
    <row r="63" spans="1:6" ht="15">
      <c r="A63" s="608" t="s">
        <v>2055</v>
      </c>
      <c r="B63" s="604" t="s">
        <v>2056</v>
      </c>
      <c r="C63" s="606">
        <v>1</v>
      </c>
      <c r="D63" s="606"/>
      <c r="E63" s="605" t="s">
        <v>2023</v>
      </c>
      <c r="F63" s="607">
        <v>6</v>
      </c>
    </row>
    <row r="64" spans="1:6" ht="15">
      <c r="A64" s="603">
        <v>23</v>
      </c>
      <c r="B64" s="604" t="s">
        <v>2061</v>
      </c>
      <c r="C64" s="605" t="s">
        <v>124</v>
      </c>
      <c r="D64" s="606"/>
      <c r="E64" s="605" t="s">
        <v>2062</v>
      </c>
      <c r="F64" s="607">
        <v>12</v>
      </c>
    </row>
    <row r="65" spans="1:6" ht="15">
      <c r="A65" s="603">
        <v>24</v>
      </c>
      <c r="B65" s="604" t="s">
        <v>2063</v>
      </c>
      <c r="C65" s="605" t="s">
        <v>139</v>
      </c>
      <c r="D65" s="606"/>
      <c r="E65" s="605" t="s">
        <v>2064</v>
      </c>
      <c r="F65" s="607">
        <v>20</v>
      </c>
    </row>
    <row r="66" spans="1:6" ht="15">
      <c r="A66" s="603">
        <v>25</v>
      </c>
      <c r="B66" s="604" t="s">
        <v>2065</v>
      </c>
      <c r="C66" s="605" t="s">
        <v>139</v>
      </c>
      <c r="D66" s="606"/>
      <c r="E66" s="605" t="s">
        <v>2064</v>
      </c>
      <c r="F66" s="607">
        <v>12</v>
      </c>
    </row>
    <row r="67" spans="1:6" ht="15">
      <c r="A67" s="603">
        <v>28</v>
      </c>
      <c r="B67" s="604" t="s">
        <v>2049</v>
      </c>
      <c r="C67" s="605" t="s">
        <v>129</v>
      </c>
      <c r="D67" s="606"/>
      <c r="E67" s="605" t="s">
        <v>2064</v>
      </c>
      <c r="F67" s="607">
        <v>44</v>
      </c>
    </row>
    <row r="68" spans="2:6" ht="15">
      <c r="B68" s="610"/>
      <c r="C68" s="611"/>
      <c r="E68" s="611"/>
      <c r="F68" s="597"/>
    </row>
    <row r="69" spans="1:6" ht="15">
      <c r="A69" s="594"/>
      <c r="B69" s="595" t="s">
        <v>2072</v>
      </c>
      <c r="C69" s="596"/>
      <c r="D69" s="596"/>
      <c r="E69" s="596"/>
      <c r="F69" s="596"/>
    </row>
    <row r="70" spans="1:6" ht="40.2" customHeight="1">
      <c r="A70" s="598" t="s">
        <v>2015</v>
      </c>
      <c r="B70" s="599" t="s">
        <v>2016</v>
      </c>
      <c r="C70" s="600" t="s">
        <v>2017</v>
      </c>
      <c r="D70" s="600" t="s">
        <v>2018</v>
      </c>
      <c r="E70" s="601" t="s">
        <v>2019</v>
      </c>
      <c r="F70" s="601" t="s">
        <v>2020</v>
      </c>
    </row>
    <row r="71" spans="1:6" ht="15">
      <c r="A71" s="608" t="s">
        <v>2024</v>
      </c>
      <c r="B71" s="604" t="s">
        <v>2025</v>
      </c>
      <c r="C71" s="606">
        <v>2</v>
      </c>
      <c r="D71" s="606"/>
      <c r="E71" s="605" t="s">
        <v>2023</v>
      </c>
      <c r="F71" s="607">
        <v>15</v>
      </c>
    </row>
    <row r="72" spans="1:6" ht="15">
      <c r="A72" s="608" t="s">
        <v>2055</v>
      </c>
      <c r="B72" s="604" t="s">
        <v>2056</v>
      </c>
      <c r="C72" s="606">
        <v>1</v>
      </c>
      <c r="D72" s="606"/>
      <c r="E72" s="605" t="s">
        <v>2023</v>
      </c>
      <c r="F72" s="607">
        <v>13</v>
      </c>
    </row>
    <row r="73" spans="1:6" ht="15">
      <c r="A73" s="603" t="s">
        <v>2032</v>
      </c>
      <c r="B73" s="604" t="s">
        <v>2033</v>
      </c>
      <c r="C73" s="605">
        <v>2</v>
      </c>
      <c r="D73" s="606"/>
      <c r="E73" s="605" t="s">
        <v>2023</v>
      </c>
      <c r="F73" s="607">
        <v>15</v>
      </c>
    </row>
    <row r="74" spans="1:6" ht="15">
      <c r="A74" s="603">
        <v>23</v>
      </c>
      <c r="B74" s="604" t="s">
        <v>2061</v>
      </c>
      <c r="C74" s="605" t="s">
        <v>124</v>
      </c>
      <c r="D74" s="606"/>
      <c r="E74" s="605" t="s">
        <v>2062</v>
      </c>
      <c r="F74" s="607">
        <v>20</v>
      </c>
    </row>
    <row r="75" spans="1:6" ht="15">
      <c r="A75" s="603">
        <v>25</v>
      </c>
      <c r="B75" s="604" t="s">
        <v>2065</v>
      </c>
      <c r="C75" s="605" t="s">
        <v>139</v>
      </c>
      <c r="D75" s="606"/>
      <c r="E75" s="605" t="s">
        <v>2064</v>
      </c>
      <c r="F75" s="607">
        <v>24</v>
      </c>
    </row>
    <row r="76" spans="1:6" ht="15">
      <c r="A76" s="603">
        <v>27</v>
      </c>
      <c r="B76" s="604" t="s">
        <v>2067</v>
      </c>
      <c r="C76" s="605" t="s">
        <v>124</v>
      </c>
      <c r="D76" s="606"/>
      <c r="E76" s="605" t="s">
        <v>2064</v>
      </c>
      <c r="F76" s="607">
        <v>23</v>
      </c>
    </row>
    <row r="77" spans="1:6" ht="15">
      <c r="A77" s="603">
        <v>28</v>
      </c>
      <c r="B77" s="604" t="s">
        <v>2049</v>
      </c>
      <c r="C77" s="605" t="s">
        <v>129</v>
      </c>
      <c r="D77" s="606"/>
      <c r="E77" s="605" t="s">
        <v>2064</v>
      </c>
      <c r="F77" s="607">
        <v>93</v>
      </c>
    </row>
    <row r="78" spans="2:6" ht="15">
      <c r="B78" s="610"/>
      <c r="C78" s="611"/>
      <c r="E78" s="611"/>
      <c r="F78" s="597"/>
    </row>
    <row r="79" spans="1:6" ht="15">
      <c r="A79" s="594"/>
      <c r="B79" s="595" t="s">
        <v>2073</v>
      </c>
      <c r="C79" s="596"/>
      <c r="D79" s="596"/>
      <c r="E79" s="596"/>
      <c r="F79" s="596"/>
    </row>
    <row r="80" spans="1:6" ht="40.2" customHeight="1">
      <c r="A80" s="598" t="s">
        <v>2015</v>
      </c>
      <c r="B80" s="599" t="s">
        <v>2016</v>
      </c>
      <c r="C80" s="600" t="s">
        <v>2017</v>
      </c>
      <c r="D80" s="600" t="s">
        <v>2018</v>
      </c>
      <c r="E80" s="601" t="s">
        <v>2019</v>
      </c>
      <c r="F80" s="601" t="s">
        <v>2020</v>
      </c>
    </row>
    <row r="81" spans="1:6" ht="15">
      <c r="A81" s="608" t="s">
        <v>2059</v>
      </c>
      <c r="B81" s="604" t="s">
        <v>2060</v>
      </c>
      <c r="C81" s="606">
        <v>2</v>
      </c>
      <c r="D81" s="606"/>
      <c r="E81" s="605" t="s">
        <v>2023</v>
      </c>
      <c r="F81" s="607">
        <v>110</v>
      </c>
    </row>
    <row r="82" spans="2:6" ht="15">
      <c r="B82" s="610"/>
      <c r="C82" s="611"/>
      <c r="E82" s="611"/>
      <c r="F82" s="597"/>
    </row>
    <row r="83" spans="1:6" ht="15">
      <c r="A83" s="594"/>
      <c r="B83" s="595" t="s">
        <v>2074</v>
      </c>
      <c r="C83" s="596"/>
      <c r="D83" s="596"/>
      <c r="E83" s="596"/>
      <c r="F83" s="596"/>
    </row>
    <row r="84" spans="1:6" ht="40.2" customHeight="1">
      <c r="A84" s="598" t="s">
        <v>2015</v>
      </c>
      <c r="B84" s="599" t="s">
        <v>2016</v>
      </c>
      <c r="C84" s="600" t="s">
        <v>2017</v>
      </c>
      <c r="D84" s="600" t="s">
        <v>2018</v>
      </c>
      <c r="E84" s="601" t="s">
        <v>2019</v>
      </c>
      <c r="F84" s="601" t="s">
        <v>2020</v>
      </c>
    </row>
    <row r="85" spans="1:6" ht="15">
      <c r="A85" s="608" t="s">
        <v>2059</v>
      </c>
      <c r="B85" s="604" t="s">
        <v>2060</v>
      </c>
      <c r="C85" s="606">
        <v>2</v>
      </c>
      <c r="D85" s="606"/>
      <c r="E85" s="605" t="s">
        <v>2023</v>
      </c>
      <c r="F85" s="607">
        <v>56</v>
      </c>
    </row>
    <row r="86" spans="2:6" ht="15">
      <c r="B86" s="610"/>
      <c r="C86" s="611"/>
      <c r="E86" s="611"/>
      <c r="F86" s="597"/>
    </row>
    <row r="87" spans="1:6" ht="15">
      <c r="A87" s="594"/>
      <c r="B87" s="595" t="s">
        <v>2075</v>
      </c>
      <c r="C87" s="596"/>
      <c r="D87" s="596"/>
      <c r="E87" s="596"/>
      <c r="F87" s="596"/>
    </row>
    <row r="88" spans="1:6" ht="40.2" customHeight="1">
      <c r="A88" s="598" t="s">
        <v>2015</v>
      </c>
      <c r="B88" s="599" t="s">
        <v>2016</v>
      </c>
      <c r="C88" s="600" t="s">
        <v>2017</v>
      </c>
      <c r="D88" s="600" t="s">
        <v>2018</v>
      </c>
      <c r="E88" s="601" t="s">
        <v>2019</v>
      </c>
      <c r="F88" s="601" t="s">
        <v>2020</v>
      </c>
    </row>
    <row r="89" spans="1:6" ht="15">
      <c r="A89" s="608">
        <v>1</v>
      </c>
      <c r="B89" s="613" t="s">
        <v>2076</v>
      </c>
      <c r="C89" s="614">
        <v>5</v>
      </c>
      <c r="D89" s="606"/>
      <c r="E89" s="605" t="s">
        <v>2064</v>
      </c>
      <c r="F89" s="607">
        <v>18</v>
      </c>
    </row>
    <row r="90" spans="1:6" ht="15">
      <c r="A90" s="608">
        <v>2</v>
      </c>
      <c r="B90" s="613" t="s">
        <v>2077</v>
      </c>
      <c r="C90" s="614">
        <v>5</v>
      </c>
      <c r="D90" s="606"/>
      <c r="E90" s="605" t="s">
        <v>2064</v>
      </c>
      <c r="F90" s="607">
        <v>15</v>
      </c>
    </row>
    <row r="91" spans="1:6" ht="15">
      <c r="A91" s="608">
        <v>3</v>
      </c>
      <c r="B91" s="613" t="s">
        <v>2078</v>
      </c>
      <c r="C91" s="614">
        <v>5</v>
      </c>
      <c r="D91" s="606"/>
      <c r="E91" s="605" t="s">
        <v>2064</v>
      </c>
      <c r="F91" s="607">
        <v>44</v>
      </c>
    </row>
    <row r="92" spans="1:6" ht="15">
      <c r="A92" s="608">
        <v>4</v>
      </c>
      <c r="B92" s="604" t="s">
        <v>2079</v>
      </c>
      <c r="C92" s="614">
        <v>6</v>
      </c>
      <c r="D92" s="606"/>
      <c r="E92" s="605" t="s">
        <v>2064</v>
      </c>
      <c r="F92" s="607">
        <v>55</v>
      </c>
    </row>
    <row r="93" spans="1:6" ht="15">
      <c r="A93" s="608">
        <v>5</v>
      </c>
      <c r="B93" s="604" t="s">
        <v>2080</v>
      </c>
      <c r="C93" s="614">
        <v>6</v>
      </c>
      <c r="D93" s="606"/>
      <c r="E93" s="605" t="s">
        <v>2064</v>
      </c>
      <c r="F93" s="607">
        <v>55</v>
      </c>
    </row>
    <row r="94" spans="1:6" ht="15">
      <c r="A94" s="608">
        <v>6</v>
      </c>
      <c r="B94" s="604" t="s">
        <v>2081</v>
      </c>
      <c r="C94" s="614">
        <v>5</v>
      </c>
      <c r="D94" s="606"/>
      <c r="E94" s="605" t="s">
        <v>2064</v>
      </c>
      <c r="F94" s="607">
        <v>33</v>
      </c>
    </row>
    <row r="95" spans="1:6" ht="15">
      <c r="A95" s="608">
        <v>7</v>
      </c>
      <c r="B95" s="604" t="s">
        <v>2082</v>
      </c>
      <c r="C95" s="614">
        <v>2</v>
      </c>
      <c r="D95" s="606"/>
      <c r="E95" s="605" t="s">
        <v>2064</v>
      </c>
      <c r="F95" s="607">
        <v>33</v>
      </c>
    </row>
    <row r="96" spans="1:6" ht="15">
      <c r="A96" s="608">
        <v>8</v>
      </c>
      <c r="B96" s="604" t="s">
        <v>2083</v>
      </c>
      <c r="C96" s="614">
        <v>5</v>
      </c>
      <c r="D96" s="606"/>
      <c r="E96" s="605" t="s">
        <v>2064</v>
      </c>
      <c r="F96" s="607">
        <v>22</v>
      </c>
    </row>
    <row r="97" spans="1:6" ht="15">
      <c r="A97" s="608">
        <v>9</v>
      </c>
      <c r="B97" s="604" t="s">
        <v>2084</v>
      </c>
      <c r="C97" s="607" t="s">
        <v>2085</v>
      </c>
      <c r="D97" s="606"/>
      <c r="E97" s="605" t="s">
        <v>2086</v>
      </c>
      <c r="F97" s="607">
        <v>170</v>
      </c>
    </row>
    <row r="98" spans="1:6" ht="15">
      <c r="A98" s="608">
        <v>10</v>
      </c>
      <c r="B98" s="604" t="s">
        <v>2087</v>
      </c>
      <c r="C98" s="607" t="s">
        <v>2088</v>
      </c>
      <c r="D98" s="606"/>
      <c r="E98" s="605" t="s">
        <v>2086</v>
      </c>
      <c r="F98" s="607">
        <v>550</v>
      </c>
    </row>
    <row r="99" spans="1:6" ht="15">
      <c r="A99" s="608">
        <v>11</v>
      </c>
      <c r="B99" s="604" t="s">
        <v>2089</v>
      </c>
      <c r="C99" s="607" t="s">
        <v>2085</v>
      </c>
      <c r="D99" s="606"/>
      <c r="E99" s="605" t="s">
        <v>2086</v>
      </c>
      <c r="F99" s="607">
        <v>30</v>
      </c>
    </row>
    <row r="100" spans="1:6" ht="15">
      <c r="A100" s="608">
        <v>12</v>
      </c>
      <c r="B100" s="604" t="s">
        <v>2090</v>
      </c>
      <c r="C100" s="607" t="s">
        <v>2088</v>
      </c>
      <c r="D100" s="606"/>
      <c r="E100" s="605" t="s">
        <v>2086</v>
      </c>
      <c r="F100" s="607">
        <v>330</v>
      </c>
    </row>
    <row r="101" spans="1:6" ht="15">
      <c r="A101" s="608">
        <v>13</v>
      </c>
      <c r="B101" s="604" t="s">
        <v>2091</v>
      </c>
      <c r="C101" s="614">
        <v>6</v>
      </c>
      <c r="D101" s="606"/>
      <c r="E101" s="605" t="s">
        <v>2064</v>
      </c>
      <c r="F101" s="607">
        <v>45</v>
      </c>
    </row>
    <row r="102" spans="1:6" ht="15">
      <c r="A102" s="608">
        <v>14</v>
      </c>
      <c r="B102" s="604" t="s">
        <v>2092</v>
      </c>
      <c r="C102" s="614">
        <v>7</v>
      </c>
      <c r="D102" s="606"/>
      <c r="E102" s="605" t="s">
        <v>2064</v>
      </c>
      <c r="F102" s="607">
        <v>47</v>
      </c>
    </row>
    <row r="103" spans="1:6" ht="15">
      <c r="A103" s="608">
        <v>15</v>
      </c>
      <c r="B103" s="604" t="s">
        <v>2093</v>
      </c>
      <c r="C103" s="614">
        <v>5</v>
      </c>
      <c r="D103" s="606"/>
      <c r="E103" s="605" t="s">
        <v>2064</v>
      </c>
      <c r="F103" s="607">
        <v>45</v>
      </c>
    </row>
    <row r="104" spans="1:6" ht="15">
      <c r="A104" s="608">
        <v>16</v>
      </c>
      <c r="B104" s="604" t="s">
        <v>2094</v>
      </c>
      <c r="C104" s="614">
        <v>5</v>
      </c>
      <c r="D104" s="606"/>
      <c r="E104" s="605" t="s">
        <v>2064</v>
      </c>
      <c r="F104" s="607">
        <v>19</v>
      </c>
    </row>
    <row r="105" spans="1:6" ht="15">
      <c r="A105" s="608">
        <v>17</v>
      </c>
      <c r="B105" s="604" t="s">
        <v>2095</v>
      </c>
      <c r="C105" s="614">
        <v>9</v>
      </c>
      <c r="D105" s="606"/>
      <c r="E105" s="605" t="s">
        <v>2064</v>
      </c>
      <c r="F105" s="607">
        <v>40</v>
      </c>
    </row>
    <row r="106" spans="1:6" ht="15">
      <c r="A106" s="608">
        <v>18</v>
      </c>
      <c r="B106" s="604" t="s">
        <v>2096</v>
      </c>
      <c r="C106" s="614">
        <v>6</v>
      </c>
      <c r="D106" s="606"/>
      <c r="E106" s="605" t="s">
        <v>2064</v>
      </c>
      <c r="F106" s="607">
        <v>119</v>
      </c>
    </row>
    <row r="107" spans="1:6" ht="15">
      <c r="A107" s="608">
        <v>19</v>
      </c>
      <c r="B107" s="604" t="s">
        <v>2097</v>
      </c>
      <c r="C107" s="607" t="s">
        <v>2085</v>
      </c>
      <c r="D107" s="606"/>
      <c r="E107" s="605" t="s">
        <v>2086</v>
      </c>
      <c r="F107" s="607">
        <v>65</v>
      </c>
    </row>
    <row r="108" spans="1:6" ht="15">
      <c r="A108" s="608">
        <v>20</v>
      </c>
      <c r="B108" s="604" t="s">
        <v>2098</v>
      </c>
      <c r="C108" s="607" t="s">
        <v>2099</v>
      </c>
      <c r="D108" s="606"/>
      <c r="E108" s="605" t="s">
        <v>2086</v>
      </c>
      <c r="F108" s="607">
        <v>1060</v>
      </c>
    </row>
    <row r="109" spans="1:6" ht="15">
      <c r="A109" s="608">
        <v>21</v>
      </c>
      <c r="B109" s="604" t="s">
        <v>2100</v>
      </c>
      <c r="C109" s="607" t="s">
        <v>2099</v>
      </c>
      <c r="D109" s="606"/>
      <c r="E109" s="605" t="s">
        <v>2086</v>
      </c>
      <c r="F109" s="607">
        <v>480</v>
      </c>
    </row>
    <row r="110" spans="1:6" ht="15">
      <c r="A110" s="608">
        <v>22</v>
      </c>
      <c r="B110" s="604" t="s">
        <v>2101</v>
      </c>
      <c r="C110" s="607" t="s">
        <v>2088</v>
      </c>
      <c r="D110" s="606"/>
      <c r="E110" s="605" t="s">
        <v>2086</v>
      </c>
      <c r="F110" s="607">
        <v>260</v>
      </c>
    </row>
    <row r="111" spans="1:6" ht="15">
      <c r="A111" s="608" t="s">
        <v>2102</v>
      </c>
      <c r="B111" s="604" t="s">
        <v>2103</v>
      </c>
      <c r="C111" s="607"/>
      <c r="D111" s="606">
        <v>1</v>
      </c>
      <c r="E111" s="605" t="s">
        <v>2104</v>
      </c>
      <c r="F111" s="607">
        <v>5</v>
      </c>
    </row>
    <row r="112" spans="1:6" ht="15">
      <c r="A112" s="603" t="s">
        <v>2105</v>
      </c>
      <c r="B112" s="604" t="s">
        <v>2106</v>
      </c>
      <c r="C112" s="605"/>
      <c r="D112" s="606">
        <v>3</v>
      </c>
      <c r="E112" s="606" t="s">
        <v>2028</v>
      </c>
      <c r="F112" s="607">
        <v>165</v>
      </c>
    </row>
    <row r="113" spans="1:6" ht="15">
      <c r="A113" s="615"/>
      <c r="B113" s="616"/>
      <c r="C113" s="617"/>
      <c r="F113" s="618"/>
    </row>
    <row r="114" spans="1:6" ht="15">
      <c r="A114" s="594"/>
      <c r="B114" s="595" t="s">
        <v>2107</v>
      </c>
      <c r="C114" s="596"/>
      <c r="D114" s="596"/>
      <c r="E114" s="596"/>
      <c r="F114" s="596"/>
    </row>
    <row r="115" spans="1:6" ht="40.2" customHeight="1">
      <c r="A115" s="598" t="s">
        <v>2015</v>
      </c>
      <c r="B115" s="599" t="s">
        <v>2016</v>
      </c>
      <c r="C115" s="600" t="s">
        <v>2017</v>
      </c>
      <c r="D115" s="600" t="s">
        <v>2018</v>
      </c>
      <c r="E115" s="601" t="s">
        <v>2019</v>
      </c>
      <c r="F115" s="601" t="s">
        <v>2020</v>
      </c>
    </row>
    <row r="116" spans="1:6" ht="15">
      <c r="A116" s="608">
        <v>1</v>
      </c>
      <c r="B116" s="613" t="s">
        <v>2076</v>
      </c>
      <c r="C116" s="614">
        <v>5</v>
      </c>
      <c r="D116" s="606"/>
      <c r="E116" s="605" t="s">
        <v>2064</v>
      </c>
      <c r="F116" s="607">
        <v>18</v>
      </c>
    </row>
    <row r="117" spans="1:6" ht="15">
      <c r="A117" s="608">
        <v>2</v>
      </c>
      <c r="B117" s="613" t="s">
        <v>2077</v>
      </c>
      <c r="C117" s="614">
        <v>5</v>
      </c>
      <c r="D117" s="606"/>
      <c r="E117" s="605" t="s">
        <v>2064</v>
      </c>
      <c r="F117" s="607">
        <v>18</v>
      </c>
    </row>
    <row r="118" spans="1:6" ht="15">
      <c r="A118" s="608">
        <v>3</v>
      </c>
      <c r="B118" s="613" t="s">
        <v>2078</v>
      </c>
      <c r="C118" s="614">
        <v>5</v>
      </c>
      <c r="D118" s="606"/>
      <c r="E118" s="605" t="s">
        <v>2064</v>
      </c>
      <c r="F118" s="607">
        <v>48</v>
      </c>
    </row>
    <row r="119" spans="1:6" ht="15">
      <c r="A119" s="608">
        <v>4</v>
      </c>
      <c r="B119" s="604" t="s">
        <v>2079</v>
      </c>
      <c r="C119" s="614">
        <v>6</v>
      </c>
      <c r="D119" s="606"/>
      <c r="E119" s="605" t="s">
        <v>2064</v>
      </c>
      <c r="F119" s="607">
        <v>60</v>
      </c>
    </row>
    <row r="120" spans="1:6" ht="15">
      <c r="A120" s="608">
        <v>5</v>
      </c>
      <c r="B120" s="604" t="s">
        <v>2080</v>
      </c>
      <c r="C120" s="614">
        <v>6</v>
      </c>
      <c r="D120" s="606"/>
      <c r="E120" s="605" t="s">
        <v>2064</v>
      </c>
      <c r="F120" s="607">
        <v>60</v>
      </c>
    </row>
    <row r="121" spans="1:6" ht="15">
      <c r="A121" s="608">
        <v>6</v>
      </c>
      <c r="B121" s="604" t="s">
        <v>2081</v>
      </c>
      <c r="C121" s="614">
        <v>5</v>
      </c>
      <c r="D121" s="606"/>
      <c r="E121" s="605" t="s">
        <v>2064</v>
      </c>
      <c r="F121" s="607">
        <v>36</v>
      </c>
    </row>
    <row r="122" spans="1:6" ht="15">
      <c r="A122" s="608">
        <v>7</v>
      </c>
      <c r="B122" s="604" t="s">
        <v>2082</v>
      </c>
      <c r="C122" s="614">
        <v>2</v>
      </c>
      <c r="D122" s="606"/>
      <c r="E122" s="605" t="s">
        <v>2064</v>
      </c>
      <c r="F122" s="607">
        <v>36</v>
      </c>
    </row>
    <row r="123" spans="1:6" ht="15">
      <c r="A123" s="608">
        <v>8</v>
      </c>
      <c r="B123" s="604" t="s">
        <v>2083</v>
      </c>
      <c r="C123" s="614">
        <v>5</v>
      </c>
      <c r="D123" s="606"/>
      <c r="E123" s="605" t="s">
        <v>2064</v>
      </c>
      <c r="F123" s="607">
        <v>24</v>
      </c>
    </row>
    <row r="124" spans="1:6" ht="15">
      <c r="A124" s="608">
        <v>9</v>
      </c>
      <c r="B124" s="604" t="s">
        <v>2084</v>
      </c>
      <c r="C124" s="607" t="s">
        <v>2085</v>
      </c>
      <c r="D124" s="606"/>
      <c r="E124" s="605" t="s">
        <v>2086</v>
      </c>
      <c r="F124" s="607">
        <v>180</v>
      </c>
    </row>
    <row r="125" spans="1:6" ht="15">
      <c r="A125" s="608">
        <v>10</v>
      </c>
      <c r="B125" s="604" t="s">
        <v>2087</v>
      </c>
      <c r="C125" s="607" t="s">
        <v>2088</v>
      </c>
      <c r="D125" s="606"/>
      <c r="E125" s="605" t="s">
        <v>2086</v>
      </c>
      <c r="F125" s="607">
        <v>600</v>
      </c>
    </row>
    <row r="126" spans="1:6" ht="15">
      <c r="A126" s="608">
        <v>11</v>
      </c>
      <c r="B126" s="604" t="s">
        <v>2089</v>
      </c>
      <c r="C126" s="607" t="s">
        <v>2085</v>
      </c>
      <c r="D126" s="606"/>
      <c r="E126" s="605" t="s">
        <v>2086</v>
      </c>
      <c r="F126" s="607">
        <v>30</v>
      </c>
    </row>
    <row r="127" spans="1:6" ht="15">
      <c r="A127" s="608">
        <v>12</v>
      </c>
      <c r="B127" s="604" t="s">
        <v>2090</v>
      </c>
      <c r="C127" s="607" t="s">
        <v>2088</v>
      </c>
      <c r="D127" s="606"/>
      <c r="E127" s="605" t="s">
        <v>2086</v>
      </c>
      <c r="F127" s="607">
        <v>360</v>
      </c>
    </row>
    <row r="128" spans="1:6" ht="15">
      <c r="A128" s="608">
        <v>13</v>
      </c>
      <c r="B128" s="604" t="s">
        <v>2091</v>
      </c>
      <c r="C128" s="614">
        <v>6</v>
      </c>
      <c r="D128" s="606"/>
      <c r="E128" s="605" t="s">
        <v>2064</v>
      </c>
      <c r="F128" s="607">
        <v>50</v>
      </c>
    </row>
    <row r="129" spans="1:6" ht="15">
      <c r="A129" s="608">
        <v>14</v>
      </c>
      <c r="B129" s="604" t="s">
        <v>2092</v>
      </c>
      <c r="C129" s="614">
        <v>7</v>
      </c>
      <c r="D129" s="606"/>
      <c r="E129" s="605" t="s">
        <v>2064</v>
      </c>
      <c r="F129" s="607">
        <v>53</v>
      </c>
    </row>
    <row r="130" spans="1:6" ht="15">
      <c r="A130" s="608">
        <v>15</v>
      </c>
      <c r="B130" s="604" t="s">
        <v>2093</v>
      </c>
      <c r="C130" s="614">
        <v>5</v>
      </c>
      <c r="D130" s="606"/>
      <c r="E130" s="605" t="s">
        <v>2064</v>
      </c>
      <c r="F130" s="607">
        <v>50</v>
      </c>
    </row>
    <row r="131" spans="1:6" ht="15">
      <c r="A131" s="608">
        <v>16</v>
      </c>
      <c r="B131" s="604" t="s">
        <v>2094</v>
      </c>
      <c r="C131" s="614">
        <v>5</v>
      </c>
      <c r="D131" s="606"/>
      <c r="E131" s="605" t="s">
        <v>2064</v>
      </c>
      <c r="F131" s="607">
        <v>22</v>
      </c>
    </row>
    <row r="132" spans="1:6" ht="15">
      <c r="A132" s="608">
        <v>17</v>
      </c>
      <c r="B132" s="604" t="s">
        <v>2095</v>
      </c>
      <c r="C132" s="614">
        <v>9</v>
      </c>
      <c r="D132" s="606"/>
      <c r="E132" s="605" t="s">
        <v>2064</v>
      </c>
      <c r="F132" s="607">
        <v>44</v>
      </c>
    </row>
    <row r="133" spans="1:6" ht="15">
      <c r="A133" s="608">
        <v>18</v>
      </c>
      <c r="B133" s="604" t="s">
        <v>2096</v>
      </c>
      <c r="C133" s="614">
        <v>6</v>
      </c>
      <c r="D133" s="606"/>
      <c r="E133" s="605" t="s">
        <v>2064</v>
      </c>
      <c r="F133" s="607">
        <v>150</v>
      </c>
    </row>
    <row r="134" spans="1:6" ht="15">
      <c r="A134" s="608">
        <v>19</v>
      </c>
      <c r="B134" s="604" t="s">
        <v>2097</v>
      </c>
      <c r="C134" s="607" t="s">
        <v>2085</v>
      </c>
      <c r="D134" s="606"/>
      <c r="E134" s="605" t="s">
        <v>2086</v>
      </c>
      <c r="F134" s="607">
        <v>70</v>
      </c>
    </row>
    <row r="135" spans="1:6" ht="15">
      <c r="A135" s="608">
        <v>20</v>
      </c>
      <c r="B135" s="604" t="s">
        <v>2098</v>
      </c>
      <c r="C135" s="607" t="s">
        <v>2099</v>
      </c>
      <c r="D135" s="606"/>
      <c r="E135" s="605" t="s">
        <v>2086</v>
      </c>
      <c r="F135" s="607">
        <v>1520</v>
      </c>
    </row>
    <row r="136" spans="1:6" ht="15">
      <c r="A136" s="608">
        <v>21</v>
      </c>
      <c r="B136" s="604" t="s">
        <v>2100</v>
      </c>
      <c r="C136" s="607" t="s">
        <v>2099</v>
      </c>
      <c r="D136" s="606"/>
      <c r="E136" s="605" t="s">
        <v>2086</v>
      </c>
      <c r="F136" s="607">
        <v>520</v>
      </c>
    </row>
    <row r="137" spans="1:6" ht="15">
      <c r="A137" s="608">
        <v>22</v>
      </c>
      <c r="B137" s="604" t="s">
        <v>2101</v>
      </c>
      <c r="C137" s="607" t="s">
        <v>2088</v>
      </c>
      <c r="D137" s="606"/>
      <c r="E137" s="605" t="s">
        <v>2086</v>
      </c>
      <c r="F137" s="607">
        <v>280</v>
      </c>
    </row>
    <row r="138" spans="1:6" ht="15">
      <c r="A138" s="608" t="s">
        <v>2102</v>
      </c>
      <c r="B138" s="604" t="s">
        <v>2103</v>
      </c>
      <c r="C138" s="607"/>
      <c r="D138" s="606">
        <v>1</v>
      </c>
      <c r="E138" s="605" t="s">
        <v>2104</v>
      </c>
      <c r="F138" s="607">
        <v>5</v>
      </c>
    </row>
    <row r="139" spans="1:6" ht="15">
      <c r="A139" s="603" t="s">
        <v>2105</v>
      </c>
      <c r="B139" s="604" t="s">
        <v>2106</v>
      </c>
      <c r="C139" s="605"/>
      <c r="D139" s="606">
        <v>3</v>
      </c>
      <c r="E139" s="606" t="s">
        <v>2028</v>
      </c>
      <c r="F139" s="607">
        <v>182</v>
      </c>
    </row>
    <row r="140" spans="1:6" ht="15">
      <c r="A140" s="615"/>
      <c r="B140" s="616"/>
      <c r="C140" s="617"/>
      <c r="F140" s="618"/>
    </row>
    <row r="141" spans="1:6" ht="15">
      <c r="A141" s="594"/>
      <c r="B141" s="595" t="s">
        <v>2108</v>
      </c>
      <c r="C141" s="596"/>
      <c r="D141" s="596"/>
      <c r="E141" s="596"/>
      <c r="F141" s="596"/>
    </row>
    <row r="142" spans="1:6" ht="40.2" customHeight="1">
      <c r="A142" s="598" t="s">
        <v>2015</v>
      </c>
      <c r="B142" s="599" t="s">
        <v>2016</v>
      </c>
      <c r="C142" s="600" t="s">
        <v>2017</v>
      </c>
      <c r="D142" s="600" t="s">
        <v>2018</v>
      </c>
      <c r="E142" s="601" t="s">
        <v>2019</v>
      </c>
      <c r="F142" s="601" t="s">
        <v>2020</v>
      </c>
    </row>
    <row r="143" spans="1:6" ht="15">
      <c r="A143" s="608">
        <v>1</v>
      </c>
      <c r="B143" s="613" t="s">
        <v>2076</v>
      </c>
      <c r="C143" s="614">
        <v>5</v>
      </c>
      <c r="D143" s="606"/>
      <c r="E143" s="605" t="s">
        <v>2064</v>
      </c>
      <c r="F143" s="607">
        <v>18</v>
      </c>
    </row>
    <row r="144" spans="1:6" ht="15">
      <c r="A144" s="608">
        <v>2</v>
      </c>
      <c r="B144" s="613" t="s">
        <v>2077</v>
      </c>
      <c r="C144" s="614">
        <v>5</v>
      </c>
      <c r="D144" s="606"/>
      <c r="E144" s="605" t="s">
        <v>2064</v>
      </c>
      <c r="F144" s="607">
        <v>18</v>
      </c>
    </row>
    <row r="145" spans="1:6" ht="15">
      <c r="A145" s="608">
        <v>3</v>
      </c>
      <c r="B145" s="613" t="s">
        <v>2078</v>
      </c>
      <c r="C145" s="614">
        <v>5</v>
      </c>
      <c r="D145" s="606"/>
      <c r="E145" s="605" t="s">
        <v>2064</v>
      </c>
      <c r="F145" s="607">
        <v>48</v>
      </c>
    </row>
    <row r="146" spans="1:6" ht="15">
      <c r="A146" s="608">
        <v>4</v>
      </c>
      <c r="B146" s="604" t="s">
        <v>2079</v>
      </c>
      <c r="C146" s="614">
        <v>6</v>
      </c>
      <c r="D146" s="606"/>
      <c r="E146" s="605" t="s">
        <v>2064</v>
      </c>
      <c r="F146" s="607">
        <v>60</v>
      </c>
    </row>
    <row r="147" spans="1:6" ht="15">
      <c r="A147" s="608">
        <v>5</v>
      </c>
      <c r="B147" s="604" t="s">
        <v>2080</v>
      </c>
      <c r="C147" s="614">
        <v>6</v>
      </c>
      <c r="D147" s="606"/>
      <c r="E147" s="605" t="s">
        <v>2064</v>
      </c>
      <c r="F147" s="607">
        <v>60</v>
      </c>
    </row>
    <row r="148" spans="1:6" ht="15">
      <c r="A148" s="608">
        <v>6</v>
      </c>
      <c r="B148" s="604" t="s">
        <v>2081</v>
      </c>
      <c r="C148" s="614">
        <v>5</v>
      </c>
      <c r="D148" s="606"/>
      <c r="E148" s="605" t="s">
        <v>2064</v>
      </c>
      <c r="F148" s="607">
        <v>36</v>
      </c>
    </row>
    <row r="149" spans="1:6" ht="15">
      <c r="A149" s="608">
        <v>7</v>
      </c>
      <c r="B149" s="604" t="s">
        <v>2082</v>
      </c>
      <c r="C149" s="614">
        <v>2</v>
      </c>
      <c r="D149" s="606"/>
      <c r="E149" s="605" t="s">
        <v>2064</v>
      </c>
      <c r="F149" s="607">
        <v>36</v>
      </c>
    </row>
    <row r="150" spans="1:6" ht="15">
      <c r="A150" s="608">
        <v>8</v>
      </c>
      <c r="B150" s="604" t="s">
        <v>2083</v>
      </c>
      <c r="C150" s="614">
        <v>5</v>
      </c>
      <c r="D150" s="606"/>
      <c r="E150" s="605" t="s">
        <v>2064</v>
      </c>
      <c r="F150" s="607">
        <v>24</v>
      </c>
    </row>
    <row r="151" spans="1:6" ht="15">
      <c r="A151" s="608">
        <v>9</v>
      </c>
      <c r="B151" s="604" t="s">
        <v>2084</v>
      </c>
      <c r="C151" s="607" t="s">
        <v>2085</v>
      </c>
      <c r="D151" s="606"/>
      <c r="E151" s="605" t="s">
        <v>2086</v>
      </c>
      <c r="F151" s="607">
        <v>180</v>
      </c>
    </row>
    <row r="152" spans="1:6" ht="15">
      <c r="A152" s="608">
        <v>10</v>
      </c>
      <c r="B152" s="604" t="s">
        <v>2087</v>
      </c>
      <c r="C152" s="607" t="s">
        <v>2088</v>
      </c>
      <c r="D152" s="606"/>
      <c r="E152" s="605" t="s">
        <v>2086</v>
      </c>
      <c r="F152" s="607">
        <v>600</v>
      </c>
    </row>
    <row r="153" spans="1:6" ht="15">
      <c r="A153" s="608">
        <v>11</v>
      </c>
      <c r="B153" s="604" t="s">
        <v>2089</v>
      </c>
      <c r="C153" s="607" t="s">
        <v>2085</v>
      </c>
      <c r="D153" s="606"/>
      <c r="E153" s="605" t="s">
        <v>2086</v>
      </c>
      <c r="F153" s="607">
        <v>30</v>
      </c>
    </row>
    <row r="154" spans="1:6" ht="15">
      <c r="A154" s="608">
        <v>12</v>
      </c>
      <c r="B154" s="604" t="s">
        <v>2090</v>
      </c>
      <c r="C154" s="607" t="s">
        <v>2088</v>
      </c>
      <c r="D154" s="606"/>
      <c r="E154" s="605" t="s">
        <v>2086</v>
      </c>
      <c r="F154" s="607">
        <v>360</v>
      </c>
    </row>
    <row r="155" spans="1:6" ht="15">
      <c r="A155" s="608">
        <v>13</v>
      </c>
      <c r="B155" s="604" t="s">
        <v>2091</v>
      </c>
      <c r="C155" s="614">
        <v>6</v>
      </c>
      <c r="D155" s="606"/>
      <c r="E155" s="605" t="s">
        <v>2064</v>
      </c>
      <c r="F155" s="607">
        <v>49</v>
      </c>
    </row>
    <row r="156" spans="1:6" ht="15">
      <c r="A156" s="608">
        <v>14</v>
      </c>
      <c r="B156" s="604" t="s">
        <v>2092</v>
      </c>
      <c r="C156" s="614">
        <v>7</v>
      </c>
      <c r="D156" s="606"/>
      <c r="E156" s="605" t="s">
        <v>2064</v>
      </c>
      <c r="F156" s="607">
        <v>52</v>
      </c>
    </row>
    <row r="157" spans="1:6" ht="15">
      <c r="A157" s="608">
        <v>15</v>
      </c>
      <c r="B157" s="604" t="s">
        <v>2093</v>
      </c>
      <c r="C157" s="614">
        <v>5</v>
      </c>
      <c r="D157" s="606"/>
      <c r="E157" s="605" t="s">
        <v>2064</v>
      </c>
      <c r="F157" s="607">
        <v>46</v>
      </c>
    </row>
    <row r="158" spans="1:6" ht="15">
      <c r="A158" s="608">
        <v>16</v>
      </c>
      <c r="B158" s="604" t="s">
        <v>2094</v>
      </c>
      <c r="C158" s="614">
        <v>5</v>
      </c>
      <c r="D158" s="606"/>
      <c r="E158" s="605" t="s">
        <v>2064</v>
      </c>
      <c r="F158" s="607">
        <v>20</v>
      </c>
    </row>
    <row r="159" spans="1:6" ht="15">
      <c r="A159" s="608">
        <v>17</v>
      </c>
      <c r="B159" s="604" t="s">
        <v>2095</v>
      </c>
      <c r="C159" s="614">
        <v>9</v>
      </c>
      <c r="D159" s="606"/>
      <c r="E159" s="605" t="s">
        <v>2064</v>
      </c>
      <c r="F159" s="607">
        <v>44</v>
      </c>
    </row>
    <row r="160" spans="1:6" ht="15">
      <c r="A160" s="608">
        <v>18</v>
      </c>
      <c r="B160" s="604" t="s">
        <v>2096</v>
      </c>
      <c r="C160" s="614">
        <v>6</v>
      </c>
      <c r="D160" s="606"/>
      <c r="E160" s="605" t="s">
        <v>2064</v>
      </c>
      <c r="F160" s="607">
        <v>145</v>
      </c>
    </row>
    <row r="161" spans="1:6" ht="15">
      <c r="A161" s="608">
        <v>19</v>
      </c>
      <c r="B161" s="604" t="s">
        <v>2097</v>
      </c>
      <c r="C161" s="607" t="s">
        <v>2085</v>
      </c>
      <c r="D161" s="606"/>
      <c r="E161" s="605" t="s">
        <v>2086</v>
      </c>
      <c r="F161" s="607">
        <v>75</v>
      </c>
    </row>
    <row r="162" spans="1:6" ht="15">
      <c r="A162" s="608">
        <v>20</v>
      </c>
      <c r="B162" s="604" t="s">
        <v>2098</v>
      </c>
      <c r="C162" s="607" t="s">
        <v>2099</v>
      </c>
      <c r="D162" s="606"/>
      <c r="E162" s="605" t="s">
        <v>2086</v>
      </c>
      <c r="F162" s="607">
        <v>1480</v>
      </c>
    </row>
    <row r="163" spans="1:6" ht="15">
      <c r="A163" s="608">
        <v>21</v>
      </c>
      <c r="B163" s="604" t="s">
        <v>2100</v>
      </c>
      <c r="C163" s="607" t="s">
        <v>2099</v>
      </c>
      <c r="D163" s="606"/>
      <c r="E163" s="605" t="s">
        <v>2086</v>
      </c>
      <c r="F163" s="607">
        <v>580</v>
      </c>
    </row>
    <row r="164" spans="1:6" ht="15">
      <c r="A164" s="608">
        <v>22</v>
      </c>
      <c r="B164" s="604" t="s">
        <v>2101</v>
      </c>
      <c r="C164" s="607" t="s">
        <v>2088</v>
      </c>
      <c r="D164" s="606"/>
      <c r="E164" s="605" t="s">
        <v>2086</v>
      </c>
      <c r="F164" s="607">
        <v>250</v>
      </c>
    </row>
    <row r="165" spans="1:6" ht="15">
      <c r="A165" s="608" t="s">
        <v>2102</v>
      </c>
      <c r="B165" s="604" t="s">
        <v>2103</v>
      </c>
      <c r="C165" s="607"/>
      <c r="D165" s="606">
        <v>1</v>
      </c>
      <c r="E165" s="605" t="s">
        <v>2104</v>
      </c>
      <c r="F165" s="607">
        <v>5</v>
      </c>
    </row>
    <row r="166" spans="1:6" ht="15">
      <c r="A166" s="603" t="s">
        <v>2105</v>
      </c>
      <c r="B166" s="604" t="s">
        <v>2106</v>
      </c>
      <c r="C166" s="605"/>
      <c r="D166" s="606">
        <v>3</v>
      </c>
      <c r="E166" s="606" t="s">
        <v>2028</v>
      </c>
      <c r="F166" s="607">
        <v>177</v>
      </c>
    </row>
    <row r="167" spans="1:6" ht="15">
      <c r="A167" s="615"/>
      <c r="B167" s="616"/>
      <c r="C167" s="617"/>
      <c r="F167" s="618"/>
    </row>
    <row r="168" spans="1:6" ht="15">
      <c r="A168" s="594"/>
      <c r="B168" s="595" t="s">
        <v>2109</v>
      </c>
      <c r="C168" s="596"/>
      <c r="D168" s="596"/>
      <c r="E168" s="596"/>
      <c r="F168" s="596"/>
    </row>
    <row r="169" spans="1:6" ht="40.2" customHeight="1">
      <c r="A169" s="598" t="s">
        <v>2015</v>
      </c>
      <c r="B169" s="599" t="s">
        <v>2016</v>
      </c>
      <c r="C169" s="600" t="s">
        <v>2017</v>
      </c>
      <c r="D169" s="600" t="s">
        <v>2018</v>
      </c>
      <c r="E169" s="601" t="s">
        <v>2019</v>
      </c>
      <c r="F169" s="601" t="s">
        <v>2020</v>
      </c>
    </row>
    <row r="170" spans="1:6" ht="15">
      <c r="A170" s="608">
        <v>1</v>
      </c>
      <c r="B170" s="613" t="s">
        <v>2076</v>
      </c>
      <c r="C170" s="614">
        <v>5</v>
      </c>
      <c r="D170" s="606"/>
      <c r="E170" s="605" t="s">
        <v>2064</v>
      </c>
      <c r="F170" s="607">
        <v>18</v>
      </c>
    </row>
    <row r="171" spans="1:6" ht="15">
      <c r="A171" s="608">
        <v>2</v>
      </c>
      <c r="B171" s="613" t="s">
        <v>2077</v>
      </c>
      <c r="C171" s="614">
        <v>5</v>
      </c>
      <c r="D171" s="606"/>
      <c r="E171" s="605" t="s">
        <v>2064</v>
      </c>
      <c r="F171" s="607">
        <v>15</v>
      </c>
    </row>
    <row r="172" spans="1:6" ht="15">
      <c r="A172" s="608">
        <v>3</v>
      </c>
      <c r="B172" s="613" t="s">
        <v>2078</v>
      </c>
      <c r="C172" s="614">
        <v>5</v>
      </c>
      <c r="D172" s="606"/>
      <c r="E172" s="605" t="s">
        <v>2064</v>
      </c>
      <c r="F172" s="607">
        <v>44</v>
      </c>
    </row>
    <row r="173" spans="1:6" ht="15">
      <c r="A173" s="608">
        <v>4</v>
      </c>
      <c r="B173" s="604" t="s">
        <v>2079</v>
      </c>
      <c r="C173" s="614">
        <v>6</v>
      </c>
      <c r="D173" s="606"/>
      <c r="E173" s="605" t="s">
        <v>2064</v>
      </c>
      <c r="F173" s="607">
        <v>55</v>
      </c>
    </row>
    <row r="174" spans="1:6" ht="15">
      <c r="A174" s="608">
        <v>5</v>
      </c>
      <c r="B174" s="604" t="s">
        <v>2080</v>
      </c>
      <c r="C174" s="614">
        <v>6</v>
      </c>
      <c r="D174" s="606"/>
      <c r="E174" s="605" t="s">
        <v>2064</v>
      </c>
      <c r="F174" s="607">
        <v>55</v>
      </c>
    </row>
    <row r="175" spans="1:6" ht="15">
      <c r="A175" s="608">
        <v>6</v>
      </c>
      <c r="B175" s="604" t="s">
        <v>2081</v>
      </c>
      <c r="C175" s="614">
        <v>5</v>
      </c>
      <c r="D175" s="606"/>
      <c r="E175" s="605" t="s">
        <v>2064</v>
      </c>
      <c r="F175" s="607">
        <v>33</v>
      </c>
    </row>
    <row r="176" spans="1:6" ht="15">
      <c r="A176" s="608">
        <v>7</v>
      </c>
      <c r="B176" s="604" t="s">
        <v>2082</v>
      </c>
      <c r="C176" s="614">
        <v>2</v>
      </c>
      <c r="D176" s="606"/>
      <c r="E176" s="605" t="s">
        <v>2064</v>
      </c>
      <c r="F176" s="607">
        <v>33</v>
      </c>
    </row>
    <row r="177" spans="1:6" ht="15">
      <c r="A177" s="608">
        <v>8</v>
      </c>
      <c r="B177" s="604" t="s">
        <v>2083</v>
      </c>
      <c r="C177" s="614">
        <v>5</v>
      </c>
      <c r="D177" s="606"/>
      <c r="E177" s="605" t="s">
        <v>2064</v>
      </c>
      <c r="F177" s="607">
        <v>22</v>
      </c>
    </row>
    <row r="178" spans="1:6" ht="15">
      <c r="A178" s="608">
        <v>9</v>
      </c>
      <c r="B178" s="604" t="s">
        <v>2084</v>
      </c>
      <c r="C178" s="607" t="s">
        <v>2085</v>
      </c>
      <c r="D178" s="606"/>
      <c r="E178" s="605" t="s">
        <v>2086</v>
      </c>
      <c r="F178" s="607">
        <v>170</v>
      </c>
    </row>
    <row r="179" spans="1:6" ht="15">
      <c r="A179" s="608">
        <v>10</v>
      </c>
      <c r="B179" s="604" t="s">
        <v>2087</v>
      </c>
      <c r="C179" s="607" t="s">
        <v>2088</v>
      </c>
      <c r="D179" s="606"/>
      <c r="E179" s="605" t="s">
        <v>2086</v>
      </c>
      <c r="F179" s="607">
        <v>550</v>
      </c>
    </row>
    <row r="180" spans="1:6" ht="15">
      <c r="A180" s="608">
        <v>11</v>
      </c>
      <c r="B180" s="604" t="s">
        <v>2089</v>
      </c>
      <c r="C180" s="607" t="s">
        <v>2085</v>
      </c>
      <c r="D180" s="606"/>
      <c r="E180" s="605" t="s">
        <v>2086</v>
      </c>
      <c r="F180" s="607">
        <v>30</v>
      </c>
    </row>
    <row r="181" spans="1:6" ht="15">
      <c r="A181" s="608">
        <v>12</v>
      </c>
      <c r="B181" s="604" t="s">
        <v>2090</v>
      </c>
      <c r="C181" s="607" t="s">
        <v>2088</v>
      </c>
      <c r="D181" s="606"/>
      <c r="E181" s="605" t="s">
        <v>2086</v>
      </c>
      <c r="F181" s="607">
        <v>330</v>
      </c>
    </row>
    <row r="182" spans="1:6" ht="15">
      <c r="A182" s="608">
        <v>13</v>
      </c>
      <c r="B182" s="604" t="s">
        <v>2091</v>
      </c>
      <c r="C182" s="614">
        <v>6</v>
      </c>
      <c r="D182" s="606"/>
      <c r="E182" s="605" t="s">
        <v>2064</v>
      </c>
      <c r="F182" s="607">
        <v>57</v>
      </c>
    </row>
    <row r="183" spans="1:6" ht="15">
      <c r="A183" s="608">
        <v>14</v>
      </c>
      <c r="B183" s="604" t="s">
        <v>2092</v>
      </c>
      <c r="C183" s="614">
        <v>7</v>
      </c>
      <c r="D183" s="606"/>
      <c r="E183" s="605" t="s">
        <v>2064</v>
      </c>
      <c r="F183" s="607">
        <v>49</v>
      </c>
    </row>
    <row r="184" spans="1:6" ht="15">
      <c r="A184" s="608">
        <v>15</v>
      </c>
      <c r="B184" s="604" t="s">
        <v>2093</v>
      </c>
      <c r="C184" s="614">
        <v>5</v>
      </c>
      <c r="D184" s="606"/>
      <c r="E184" s="605" t="s">
        <v>2064</v>
      </c>
      <c r="F184" s="607">
        <v>44</v>
      </c>
    </row>
    <row r="185" spans="1:6" ht="15">
      <c r="A185" s="608">
        <v>16</v>
      </c>
      <c r="B185" s="604" t="s">
        <v>2094</v>
      </c>
      <c r="C185" s="614">
        <v>5</v>
      </c>
      <c r="D185" s="606"/>
      <c r="E185" s="605" t="s">
        <v>2064</v>
      </c>
      <c r="F185" s="607">
        <v>20</v>
      </c>
    </row>
    <row r="186" spans="1:6" ht="15">
      <c r="A186" s="608">
        <v>17</v>
      </c>
      <c r="B186" s="604" t="s">
        <v>2095</v>
      </c>
      <c r="C186" s="614">
        <v>9</v>
      </c>
      <c r="D186" s="606"/>
      <c r="E186" s="605" t="s">
        <v>2064</v>
      </c>
      <c r="F186" s="607">
        <v>46</v>
      </c>
    </row>
    <row r="187" spans="1:6" ht="15">
      <c r="A187" s="608">
        <v>18</v>
      </c>
      <c r="B187" s="604" t="s">
        <v>2096</v>
      </c>
      <c r="C187" s="614">
        <v>6</v>
      </c>
      <c r="D187" s="606"/>
      <c r="E187" s="605" t="s">
        <v>2064</v>
      </c>
      <c r="F187" s="607">
        <v>119</v>
      </c>
    </row>
    <row r="188" spans="1:6" ht="15">
      <c r="A188" s="608">
        <v>19</v>
      </c>
      <c r="B188" s="604" t="s">
        <v>2097</v>
      </c>
      <c r="C188" s="607" t="s">
        <v>2085</v>
      </c>
      <c r="D188" s="606"/>
      <c r="E188" s="605" t="s">
        <v>2086</v>
      </c>
      <c r="F188" s="607">
        <v>75</v>
      </c>
    </row>
    <row r="189" spans="1:6" ht="15">
      <c r="A189" s="608">
        <v>20</v>
      </c>
      <c r="B189" s="604" t="s">
        <v>2098</v>
      </c>
      <c r="C189" s="607" t="s">
        <v>2099</v>
      </c>
      <c r="D189" s="606"/>
      <c r="E189" s="605" t="s">
        <v>2086</v>
      </c>
      <c r="F189" s="607">
        <v>1140</v>
      </c>
    </row>
    <row r="190" spans="1:6" ht="15">
      <c r="A190" s="608">
        <v>21</v>
      </c>
      <c r="B190" s="604" t="s">
        <v>2100</v>
      </c>
      <c r="C190" s="607" t="s">
        <v>2099</v>
      </c>
      <c r="D190" s="606"/>
      <c r="E190" s="605" t="s">
        <v>2086</v>
      </c>
      <c r="F190" s="607">
        <v>480</v>
      </c>
    </row>
    <row r="191" spans="1:6" ht="15">
      <c r="A191" s="608">
        <v>22</v>
      </c>
      <c r="B191" s="604" t="s">
        <v>2101</v>
      </c>
      <c r="C191" s="607" t="s">
        <v>2088</v>
      </c>
      <c r="D191" s="606"/>
      <c r="E191" s="605" t="s">
        <v>2086</v>
      </c>
      <c r="F191" s="607">
        <v>230</v>
      </c>
    </row>
    <row r="192" spans="1:6" ht="15">
      <c r="A192" s="608" t="s">
        <v>2102</v>
      </c>
      <c r="B192" s="604" t="s">
        <v>2103</v>
      </c>
      <c r="C192" s="607"/>
      <c r="D192" s="606">
        <v>1</v>
      </c>
      <c r="E192" s="605" t="s">
        <v>2104</v>
      </c>
      <c r="F192" s="607">
        <v>5</v>
      </c>
    </row>
    <row r="193" spans="1:6" ht="15">
      <c r="A193" s="603" t="s">
        <v>2105</v>
      </c>
      <c r="B193" s="604" t="s">
        <v>2106</v>
      </c>
      <c r="C193" s="605"/>
      <c r="D193" s="606">
        <v>3</v>
      </c>
      <c r="E193" s="606" t="s">
        <v>2028</v>
      </c>
      <c r="F193" s="607">
        <v>163</v>
      </c>
    </row>
    <row r="194" spans="1:6" ht="15">
      <c r="A194" s="615"/>
      <c r="B194" s="616"/>
      <c r="C194" s="617"/>
      <c r="F194" s="618"/>
    </row>
    <row r="195" spans="1:6" ht="15">
      <c r="A195" s="594"/>
      <c r="B195" s="595" t="s">
        <v>2110</v>
      </c>
      <c r="C195" s="596"/>
      <c r="D195" s="596"/>
      <c r="E195" s="596"/>
      <c r="F195" s="596"/>
    </row>
    <row r="196" spans="1:6" ht="40.2" customHeight="1">
      <c r="A196" s="598" t="s">
        <v>2015</v>
      </c>
      <c r="B196" s="599" t="s">
        <v>2016</v>
      </c>
      <c r="C196" s="600" t="s">
        <v>2017</v>
      </c>
      <c r="D196" s="600" t="s">
        <v>2018</v>
      </c>
      <c r="E196" s="601" t="s">
        <v>2019</v>
      </c>
      <c r="F196" s="601" t="s">
        <v>2020</v>
      </c>
    </row>
    <row r="197" spans="1:6" ht="15">
      <c r="A197" s="608" t="s">
        <v>2111</v>
      </c>
      <c r="B197" s="604" t="s">
        <v>2112</v>
      </c>
      <c r="C197" s="606">
        <v>6</v>
      </c>
      <c r="D197" s="606"/>
      <c r="E197" s="605" t="s">
        <v>2028</v>
      </c>
      <c r="F197" s="619">
        <v>116</v>
      </c>
    </row>
    <row r="198" spans="1:6" ht="15">
      <c r="A198" s="615"/>
      <c r="B198" s="616"/>
      <c r="C198" s="617"/>
      <c r="F198" s="618"/>
    </row>
    <row r="199" spans="1:6" ht="15">
      <c r="A199" s="594"/>
      <c r="B199" s="595" t="s">
        <v>2113</v>
      </c>
      <c r="C199" s="596"/>
      <c r="D199" s="596"/>
      <c r="E199" s="596"/>
      <c r="F199" s="596"/>
    </row>
    <row r="200" spans="1:6" ht="40.2" customHeight="1">
      <c r="A200" s="598" t="s">
        <v>2015</v>
      </c>
      <c r="B200" s="599" t="s">
        <v>2016</v>
      </c>
      <c r="C200" s="600" t="s">
        <v>2017</v>
      </c>
      <c r="D200" s="600" t="s">
        <v>2018</v>
      </c>
      <c r="E200" s="601" t="s">
        <v>2019</v>
      </c>
      <c r="F200" s="601" t="s">
        <v>2020</v>
      </c>
    </row>
    <row r="201" spans="1:6" ht="15">
      <c r="A201" s="603" t="s">
        <v>2118</v>
      </c>
      <c r="B201" s="604" t="s">
        <v>2114</v>
      </c>
      <c r="C201" s="605" t="s">
        <v>117</v>
      </c>
      <c r="D201" s="606"/>
      <c r="E201" s="605" t="s">
        <v>2023</v>
      </c>
      <c r="F201" s="607">
        <v>130</v>
      </c>
    </row>
    <row r="202" spans="1:6" ht="15">
      <c r="A202" s="603" t="s">
        <v>2105</v>
      </c>
      <c r="B202" s="604" t="s">
        <v>2106</v>
      </c>
      <c r="C202" s="605"/>
      <c r="D202" s="606">
        <v>3</v>
      </c>
      <c r="E202" s="605" t="s">
        <v>2028</v>
      </c>
      <c r="F202" s="607">
        <v>159</v>
      </c>
    </row>
    <row r="203" spans="1:6" ht="15">
      <c r="A203" s="615"/>
      <c r="B203" s="616"/>
      <c r="C203" s="617"/>
      <c r="F203" s="618"/>
    </row>
    <row r="204" spans="1:6" ht="15">
      <c r="A204" s="594"/>
      <c r="B204" s="595" t="s">
        <v>2115</v>
      </c>
      <c r="C204" s="596"/>
      <c r="D204" s="596"/>
      <c r="E204" s="596"/>
      <c r="F204" s="596"/>
    </row>
    <row r="205" spans="1:6" ht="40.2" customHeight="1">
      <c r="A205" s="598" t="s">
        <v>2015</v>
      </c>
      <c r="B205" s="599" t="s">
        <v>2016</v>
      </c>
      <c r="C205" s="600" t="s">
        <v>2017</v>
      </c>
      <c r="D205" s="600" t="s">
        <v>2018</v>
      </c>
      <c r="E205" s="601" t="s">
        <v>2019</v>
      </c>
      <c r="F205" s="601" t="s">
        <v>2020</v>
      </c>
    </row>
    <row r="206" spans="1:6" ht="15">
      <c r="A206" s="603" t="s">
        <v>2118</v>
      </c>
      <c r="B206" s="604" t="s">
        <v>2114</v>
      </c>
      <c r="C206" s="605" t="s">
        <v>117</v>
      </c>
      <c r="D206" s="606"/>
      <c r="E206" s="605" t="s">
        <v>2023</v>
      </c>
      <c r="F206" s="607">
        <v>124</v>
      </c>
    </row>
    <row r="207" spans="1:6" ht="15">
      <c r="A207" s="603" t="s">
        <v>2105</v>
      </c>
      <c r="B207" s="604" t="s">
        <v>2106</v>
      </c>
      <c r="C207" s="605"/>
      <c r="D207" s="606">
        <v>3</v>
      </c>
      <c r="E207" s="605" t="s">
        <v>2028</v>
      </c>
      <c r="F207" s="607">
        <v>154</v>
      </c>
    </row>
    <row r="208" spans="1:6" ht="15">
      <c r="A208" s="615"/>
      <c r="B208" s="616"/>
      <c r="C208" s="617"/>
      <c r="F208" s="618"/>
    </row>
    <row r="209" spans="1:6" ht="15">
      <c r="A209" s="594"/>
      <c r="B209" s="761" t="s">
        <v>2116</v>
      </c>
      <c r="C209" s="761"/>
      <c r="D209" s="761"/>
      <c r="E209" s="761"/>
      <c r="F209" s="761"/>
    </row>
    <row r="210" spans="1:6" ht="43.5" customHeight="1">
      <c r="A210" s="598" t="s">
        <v>2015</v>
      </c>
      <c r="B210" s="599" t="s">
        <v>2016</v>
      </c>
      <c r="C210" s="600" t="s">
        <v>2017</v>
      </c>
      <c r="D210" s="600" t="s">
        <v>2018</v>
      </c>
      <c r="E210" s="601" t="s">
        <v>2019</v>
      </c>
      <c r="F210" s="601" t="s">
        <v>2020</v>
      </c>
    </row>
    <row r="211" spans="1:6" ht="15">
      <c r="A211" s="603" t="s">
        <v>2052</v>
      </c>
      <c r="B211" s="604" t="s">
        <v>2053</v>
      </c>
      <c r="C211" s="605" t="s">
        <v>124</v>
      </c>
      <c r="D211" s="606"/>
      <c r="E211" s="605" t="s">
        <v>2023</v>
      </c>
      <c r="F211" s="619">
        <v>1497</v>
      </c>
    </row>
    <row r="212" ht="15">
      <c r="A212" s="615"/>
    </row>
    <row r="213" spans="1:6" ht="15">
      <c r="A213" s="615"/>
      <c r="B213" s="616"/>
      <c r="C213" s="617"/>
      <c r="F213" s="618"/>
    </row>
    <row r="214" spans="1:6" ht="15">
      <c r="A214" s="615"/>
      <c r="B214" s="616"/>
      <c r="C214" s="617"/>
      <c r="F214" s="618"/>
    </row>
  </sheetData>
  <sheetProtection algorithmName="SHA-512" hashValue="jOvH8fCKUW/GfIXMiu5kflq8nIy2/BxKczp1Ov7vVe/kVsBJqooqBIzk/WNGRfm2R7p+SrvZ0KYVOL9YoVHuhA==" saltValue="pqujjImSxuEBJWyo3cex+A==" spinCount="100000" sheet="1" objects="1" scenarios="1"/>
  <mergeCells count="2">
    <mergeCell ref="A1:F1"/>
    <mergeCell ref="B209:F20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FD02-11BC-4D68-83B6-38EA58FD4A0B}">
  <sheetPr>
    <pageSetUpPr fitToPage="1"/>
  </sheetPr>
  <dimension ref="A1:J37"/>
  <sheetViews>
    <sheetView workbookViewId="0" topLeftCell="A1">
      <selection activeCell="G14" sqref="G14:H21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05" customHeight="1">
      <c r="A1" s="99"/>
      <c r="B1" s="100"/>
      <c r="C1" s="762" t="s">
        <v>24</v>
      </c>
      <c r="D1" s="763"/>
      <c r="E1" s="763"/>
      <c r="F1" s="763"/>
      <c r="G1" s="763"/>
      <c r="H1" s="763"/>
      <c r="I1" s="763"/>
    </row>
    <row r="2" spans="1:10" ht="15">
      <c r="A2" s="764" t="s">
        <v>13</v>
      </c>
      <c r="B2" s="765"/>
      <c r="C2" s="768" t="s">
        <v>14</v>
      </c>
      <c r="D2" s="769"/>
      <c r="E2" s="771" t="s">
        <v>15</v>
      </c>
      <c r="F2" s="771" t="s">
        <v>19</v>
      </c>
      <c r="G2" s="765"/>
      <c r="H2" s="771" t="s">
        <v>25</v>
      </c>
      <c r="I2" s="772"/>
      <c r="J2" s="102"/>
    </row>
    <row r="3" spans="1:10" ht="12.75" customHeight="1">
      <c r="A3" s="766"/>
      <c r="B3" s="767"/>
      <c r="C3" s="770"/>
      <c r="D3" s="770"/>
      <c r="E3" s="767"/>
      <c r="F3" s="767"/>
      <c r="G3" s="767"/>
      <c r="H3" s="767"/>
      <c r="I3" s="773"/>
      <c r="J3" s="102"/>
    </row>
    <row r="4" spans="1:10" ht="15">
      <c r="A4" s="776" t="s">
        <v>26</v>
      </c>
      <c r="B4" s="767"/>
      <c r="C4" s="777" t="s">
        <v>0</v>
      </c>
      <c r="D4" s="767"/>
      <c r="E4" s="777" t="s">
        <v>27</v>
      </c>
      <c r="F4" s="777" t="s">
        <v>1176</v>
      </c>
      <c r="G4" s="767"/>
      <c r="H4" s="777" t="s">
        <v>25</v>
      </c>
      <c r="I4" s="778"/>
      <c r="J4" s="102"/>
    </row>
    <row r="5" spans="1:10" ht="12.75" customHeight="1">
      <c r="A5" s="766"/>
      <c r="B5" s="767"/>
      <c r="C5" s="767"/>
      <c r="D5" s="767"/>
      <c r="E5" s="767"/>
      <c r="F5" s="767"/>
      <c r="G5" s="767"/>
      <c r="H5" s="767"/>
      <c r="I5" s="773"/>
      <c r="J5" s="102"/>
    </row>
    <row r="6" spans="1:10" ht="15">
      <c r="A6" s="776" t="s">
        <v>16</v>
      </c>
      <c r="B6" s="767"/>
      <c r="C6" s="777" t="s">
        <v>17</v>
      </c>
      <c r="D6" s="767"/>
      <c r="E6" s="777" t="s">
        <v>29</v>
      </c>
      <c r="F6" s="779"/>
      <c r="G6" s="780"/>
      <c r="H6" s="777" t="s">
        <v>25</v>
      </c>
      <c r="I6" s="774"/>
      <c r="J6" s="102"/>
    </row>
    <row r="7" spans="1:10" ht="12.75" customHeight="1">
      <c r="A7" s="766"/>
      <c r="B7" s="767"/>
      <c r="C7" s="767"/>
      <c r="D7" s="767"/>
      <c r="E7" s="767"/>
      <c r="F7" s="780"/>
      <c r="G7" s="780"/>
      <c r="H7" s="767"/>
      <c r="I7" s="775"/>
      <c r="J7" s="102"/>
    </row>
    <row r="8" spans="1:10" ht="15">
      <c r="A8" s="776" t="s">
        <v>30</v>
      </c>
      <c r="B8" s="767"/>
      <c r="C8" s="779"/>
      <c r="D8" s="780"/>
      <c r="E8" s="777" t="s">
        <v>31</v>
      </c>
      <c r="F8" s="779"/>
      <c r="G8" s="780"/>
      <c r="H8" s="783" t="s">
        <v>32</v>
      </c>
      <c r="I8" s="778" t="s">
        <v>541</v>
      </c>
      <c r="J8" s="102"/>
    </row>
    <row r="9" spans="1:10" ht="15">
      <c r="A9" s="766"/>
      <c r="B9" s="767"/>
      <c r="C9" s="780"/>
      <c r="D9" s="780"/>
      <c r="E9" s="767"/>
      <c r="F9" s="780"/>
      <c r="G9" s="780"/>
      <c r="H9" s="767"/>
      <c r="I9" s="773"/>
      <c r="J9" s="102"/>
    </row>
    <row r="10" spans="1:10" ht="15">
      <c r="A10" s="776" t="s">
        <v>34</v>
      </c>
      <c r="B10" s="767"/>
      <c r="C10" s="777"/>
      <c r="D10" s="767"/>
      <c r="E10" s="777" t="s">
        <v>35</v>
      </c>
      <c r="F10" s="777"/>
      <c r="G10" s="767"/>
      <c r="H10" s="783" t="s">
        <v>18</v>
      </c>
      <c r="I10" s="781">
        <v>43726</v>
      </c>
      <c r="J10" s="102"/>
    </row>
    <row r="11" spans="1:10" ht="15">
      <c r="A11" s="784"/>
      <c r="B11" s="785"/>
      <c r="C11" s="785"/>
      <c r="D11" s="785"/>
      <c r="E11" s="785"/>
      <c r="F11" s="785"/>
      <c r="G11" s="785"/>
      <c r="H11" s="785"/>
      <c r="I11" s="782"/>
      <c r="J11" s="102"/>
    </row>
    <row r="12" spans="1:9" ht="18.75" customHeight="1">
      <c r="A12" s="786" t="s">
        <v>36</v>
      </c>
      <c r="B12" s="787"/>
      <c r="C12" s="787"/>
      <c r="D12" s="787"/>
      <c r="E12" s="787"/>
      <c r="F12" s="787"/>
      <c r="G12" s="787"/>
      <c r="H12" s="787"/>
      <c r="I12" s="787"/>
    </row>
    <row r="13" spans="1:10" ht="26.55" customHeight="1">
      <c r="A13" s="160" t="s">
        <v>37</v>
      </c>
      <c r="B13" s="788" t="s">
        <v>38</v>
      </c>
      <c r="C13" s="789"/>
      <c r="D13" s="103" t="s">
        <v>39</v>
      </c>
      <c r="E13" s="790" t="s">
        <v>40</v>
      </c>
      <c r="F13" s="791"/>
      <c r="G13" s="103" t="s">
        <v>41</v>
      </c>
      <c r="H13" s="790" t="s">
        <v>42</v>
      </c>
      <c r="I13" s="791"/>
      <c r="J13" s="102"/>
    </row>
    <row r="14" spans="1:10" ht="12.75" customHeight="1">
      <c r="A14" s="161"/>
      <c r="B14" s="162"/>
      <c r="C14" s="163"/>
      <c r="D14" s="792" t="s">
        <v>45</v>
      </c>
      <c r="E14" s="750"/>
      <c r="F14" s="755">
        <v>0</v>
      </c>
      <c r="G14" s="749" t="s">
        <v>1177</v>
      </c>
      <c r="H14" s="750"/>
      <c r="I14" s="755">
        <v>0</v>
      </c>
      <c r="J14" s="102"/>
    </row>
    <row r="15" spans="1:10" ht="16.8" customHeight="1">
      <c r="A15" s="164"/>
      <c r="B15" s="165"/>
      <c r="C15" s="166"/>
      <c r="D15" s="793"/>
      <c r="E15" s="752"/>
      <c r="F15" s="756"/>
      <c r="G15" s="751"/>
      <c r="H15" s="752"/>
      <c r="I15" s="756"/>
      <c r="J15" s="102"/>
    </row>
    <row r="16" spans="1:10" ht="16.2" customHeight="1">
      <c r="A16" s="164"/>
      <c r="B16" s="165"/>
      <c r="C16" s="166"/>
      <c r="D16" s="794"/>
      <c r="E16" s="754"/>
      <c r="F16" s="757"/>
      <c r="G16" s="751"/>
      <c r="H16" s="752"/>
      <c r="I16" s="756"/>
      <c r="J16" s="102"/>
    </row>
    <row r="17" spans="1:10" ht="12.6" customHeight="1">
      <c r="A17" s="164"/>
      <c r="B17" s="165"/>
      <c r="C17" s="166"/>
      <c r="D17" s="792" t="s">
        <v>49</v>
      </c>
      <c r="E17" s="750"/>
      <c r="F17" s="795" t="s">
        <v>1178</v>
      </c>
      <c r="G17" s="751"/>
      <c r="H17" s="752"/>
      <c r="I17" s="756"/>
      <c r="J17" s="102"/>
    </row>
    <row r="18" spans="1:10" ht="12.75" customHeight="1">
      <c r="A18" s="164"/>
      <c r="B18" s="165"/>
      <c r="C18" s="166"/>
      <c r="D18" s="793"/>
      <c r="E18" s="752"/>
      <c r="F18" s="796"/>
      <c r="G18" s="751"/>
      <c r="H18" s="752"/>
      <c r="I18" s="756"/>
      <c r="J18" s="102"/>
    </row>
    <row r="19" spans="1:10" ht="12.75" customHeight="1">
      <c r="A19" s="164"/>
      <c r="B19" s="165"/>
      <c r="C19" s="166"/>
      <c r="D19" s="793"/>
      <c r="E19" s="752"/>
      <c r="F19" s="796"/>
      <c r="G19" s="751"/>
      <c r="H19" s="752"/>
      <c r="I19" s="756"/>
      <c r="J19" s="102"/>
    </row>
    <row r="20" spans="1:10" ht="12.75" customHeight="1">
      <c r="A20" s="798"/>
      <c r="B20" s="799"/>
      <c r="C20" s="166"/>
      <c r="D20" s="793"/>
      <c r="E20" s="752"/>
      <c r="F20" s="796"/>
      <c r="G20" s="751"/>
      <c r="H20" s="752"/>
      <c r="I20" s="756"/>
      <c r="J20" s="102"/>
    </row>
    <row r="21" spans="1:10" ht="30.6" customHeight="1">
      <c r="A21" s="800"/>
      <c r="B21" s="801"/>
      <c r="C21" s="167"/>
      <c r="D21" s="794"/>
      <c r="E21" s="754"/>
      <c r="F21" s="797"/>
      <c r="G21" s="753"/>
      <c r="H21" s="754"/>
      <c r="I21" s="757"/>
      <c r="J21" s="102"/>
    </row>
    <row r="22" spans="1:10" ht="16.95" customHeight="1">
      <c r="A22" s="800" t="s">
        <v>54</v>
      </c>
      <c r="B22" s="807"/>
      <c r="C22" s="168">
        <f>'SO 03_Výkaz výměr'!H209</f>
        <v>0</v>
      </c>
      <c r="D22" s="802" t="s">
        <v>55</v>
      </c>
      <c r="E22" s="803"/>
      <c r="F22" s="106">
        <f>SUM(F14:F21)</f>
        <v>0</v>
      </c>
      <c r="G22" s="802" t="s">
        <v>56</v>
      </c>
      <c r="H22" s="803"/>
      <c r="I22" s="106">
        <f>I14</f>
        <v>0</v>
      </c>
      <c r="J22" s="102"/>
    </row>
    <row r="23" spans="1:9" ht="12.75" customHeight="1">
      <c r="A23" s="109"/>
      <c r="B23" s="109"/>
      <c r="C23" s="109"/>
      <c r="D23" s="804"/>
      <c r="E23" s="799"/>
      <c r="F23" s="169"/>
      <c r="G23" s="804"/>
      <c r="H23" s="799"/>
      <c r="I23" s="169"/>
    </row>
    <row r="24" spans="7:8" ht="12.75" customHeight="1">
      <c r="G24" s="804"/>
      <c r="H24" s="799"/>
    </row>
    <row r="25" spans="7:9" ht="12.75" customHeight="1">
      <c r="G25" s="804"/>
      <c r="H25" s="799"/>
      <c r="I25" s="169"/>
    </row>
    <row r="26" spans="1:3" ht="15">
      <c r="A26" s="100"/>
      <c r="B26" s="100"/>
      <c r="C26" s="100"/>
    </row>
    <row r="27" spans="1:9" ht="12.75" customHeight="1">
      <c r="A27" s="805" t="s">
        <v>57</v>
      </c>
      <c r="B27" s="806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805" t="s">
        <v>58</v>
      </c>
      <c r="B28" s="806"/>
      <c r="C28" s="115">
        <v>0</v>
      </c>
      <c r="D28" s="805" t="s">
        <v>59</v>
      </c>
      <c r="E28" s="806"/>
      <c r="F28" s="115">
        <v>0</v>
      </c>
      <c r="G28" s="805" t="s">
        <v>60</v>
      </c>
      <c r="H28" s="806"/>
      <c r="I28" s="115">
        <f>SUM(C27:C29)</f>
        <v>0</v>
      </c>
      <c r="J28" s="102"/>
    </row>
    <row r="29" spans="1:10" ht="12.75" customHeight="1">
      <c r="A29" s="805" t="s">
        <v>61</v>
      </c>
      <c r="B29" s="806"/>
      <c r="C29" s="115">
        <f>SUM(C22,F22,I22)</f>
        <v>0</v>
      </c>
      <c r="D29" s="805" t="s">
        <v>8</v>
      </c>
      <c r="E29" s="806"/>
      <c r="F29" s="115">
        <f>ROUND(C29*(21/100),2)</f>
        <v>0</v>
      </c>
      <c r="G29" s="805" t="s">
        <v>62</v>
      </c>
      <c r="H29" s="806"/>
      <c r="I29" s="115">
        <f>SUM(F28:F29)+I28</f>
        <v>0</v>
      </c>
      <c r="J29" s="102"/>
    </row>
    <row r="30" spans="1:9" ht="13.8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808" t="s">
        <v>63</v>
      </c>
      <c r="B31" s="809"/>
      <c r="C31" s="810"/>
      <c r="D31" s="808" t="s">
        <v>64</v>
      </c>
      <c r="E31" s="809"/>
      <c r="F31" s="810"/>
      <c r="G31" s="808" t="s">
        <v>65</v>
      </c>
      <c r="H31" s="809"/>
      <c r="I31" s="810"/>
      <c r="J31" s="118"/>
    </row>
    <row r="32" spans="1:10" ht="12.75" customHeight="1">
      <c r="A32" s="811"/>
      <c r="B32" s="812"/>
      <c r="C32" s="813"/>
      <c r="D32" s="811"/>
      <c r="E32" s="812"/>
      <c r="F32" s="813"/>
      <c r="G32" s="811"/>
      <c r="H32" s="812"/>
      <c r="I32" s="813"/>
      <c r="J32" s="118"/>
    </row>
    <row r="33" spans="1:10" ht="12.75" customHeight="1">
      <c r="A33" s="811"/>
      <c r="B33" s="812"/>
      <c r="C33" s="813"/>
      <c r="D33" s="811"/>
      <c r="E33" s="812"/>
      <c r="F33" s="813"/>
      <c r="G33" s="811"/>
      <c r="H33" s="812"/>
      <c r="I33" s="813"/>
      <c r="J33" s="118"/>
    </row>
    <row r="34" spans="1:10" ht="12.75" customHeight="1">
      <c r="A34" s="811"/>
      <c r="B34" s="812"/>
      <c r="C34" s="813"/>
      <c r="D34" s="811"/>
      <c r="E34" s="812"/>
      <c r="F34" s="813"/>
      <c r="G34" s="811"/>
      <c r="H34" s="812"/>
      <c r="I34" s="813"/>
      <c r="J34" s="118"/>
    </row>
    <row r="35" spans="1:10" ht="12.75" customHeight="1" thickBot="1">
      <c r="A35" s="814" t="s">
        <v>66</v>
      </c>
      <c r="B35" s="815"/>
      <c r="C35" s="816"/>
      <c r="D35" s="814" t="s">
        <v>66</v>
      </c>
      <c r="E35" s="815"/>
      <c r="F35" s="816"/>
      <c r="G35" s="814" t="s">
        <v>66</v>
      </c>
      <c r="H35" s="815"/>
      <c r="I35" s="816"/>
      <c r="J35" s="118"/>
    </row>
    <row r="36" spans="1:9" ht="10.8" customHeight="1">
      <c r="A36" s="119" t="s">
        <v>67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77"/>
      <c r="B37" s="767"/>
      <c r="C37" s="767"/>
      <c r="D37" s="767"/>
      <c r="E37" s="767"/>
      <c r="F37" s="767"/>
      <c r="G37" s="767"/>
      <c r="H37" s="767"/>
      <c r="I37" s="767"/>
    </row>
  </sheetData>
  <sheetProtection algorithmName="SHA-512" hashValue="WJ6yJoee1PqWhN4kIFXQiiJThEF7ZRBxi7N5HaDQkq080m+zzKy/irBRhDzuPW2qgDBOZc1QCdiAgfvoJTfYEw==" saltValue="BNKEvP46SRlg6gBjz3ajHQ==" spinCount="100000" sheet="1" objects="1" scenarios="1"/>
  <mergeCells count="7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4257-C964-48FE-8F2A-40CBA7586C6A}">
  <sheetPr>
    <tabColor theme="4" tint="0.7999799847602844"/>
  </sheetPr>
  <dimension ref="A1:H213"/>
  <sheetViews>
    <sheetView zoomScale="85" zoomScaleNormal="85" workbookViewId="0" topLeftCell="A1">
      <selection activeCell="R29" sqref="R29"/>
    </sheetView>
  </sheetViews>
  <sheetFormatPr defaultColWidth="9.140625" defaultRowHeight="15"/>
  <cols>
    <col min="1" max="1" width="5.7109375" style="0" customWidth="1"/>
    <col min="2" max="2" width="13.00390625" style="0" customWidth="1"/>
    <col min="3" max="3" width="57.8515625" style="240" customWidth="1"/>
    <col min="4" max="4" width="6.8515625" style="241" customWidth="1"/>
    <col min="5" max="5" width="9.7109375" style="242" customWidth="1"/>
    <col min="6" max="6" width="12.7109375" style="252" customWidth="1"/>
    <col min="7" max="7" width="12.7109375" style="241" customWidth="1"/>
    <col min="8" max="8" width="17.140625" style="241" customWidth="1"/>
  </cols>
  <sheetData>
    <row r="1" spans="1:8" ht="18">
      <c r="A1" s="170"/>
      <c r="B1" s="171" t="s">
        <v>1179</v>
      </c>
      <c r="C1" s="172"/>
      <c r="D1" s="173"/>
      <c r="E1" s="174"/>
      <c r="F1" s="175"/>
      <c r="G1" s="175"/>
      <c r="H1" s="176"/>
    </row>
    <row r="2" spans="1:8" ht="16.5" customHeight="1">
      <c r="A2" s="170"/>
      <c r="B2" s="177" t="s">
        <v>1180</v>
      </c>
      <c r="C2" s="178" t="s">
        <v>1181</v>
      </c>
      <c r="D2" s="173"/>
      <c r="E2" s="174"/>
      <c r="F2" s="175"/>
      <c r="G2" s="175"/>
      <c r="H2" s="176"/>
    </row>
    <row r="3" spans="1:8" ht="15.75">
      <c r="A3" s="170"/>
      <c r="B3" s="177" t="s">
        <v>1182</v>
      </c>
      <c r="C3" s="172" t="s">
        <v>1183</v>
      </c>
      <c r="D3" s="173"/>
      <c r="E3" s="174"/>
      <c r="F3" s="175"/>
      <c r="G3" s="175"/>
      <c r="H3" s="176"/>
    </row>
    <row r="4" spans="1:8" ht="15.6">
      <c r="A4" s="170"/>
      <c r="B4" s="177" t="s">
        <v>18</v>
      </c>
      <c r="C4" s="179">
        <v>43726</v>
      </c>
      <c r="D4" s="173"/>
      <c r="E4" s="174"/>
      <c r="F4" s="175"/>
      <c r="G4" s="175"/>
      <c r="H4" s="176"/>
    </row>
    <row r="5" spans="1:8" ht="15.75">
      <c r="A5" s="170"/>
      <c r="B5" s="180"/>
      <c r="C5" s="172"/>
      <c r="D5" s="173"/>
      <c r="E5" s="174"/>
      <c r="F5" s="175"/>
      <c r="G5" s="175"/>
      <c r="H5" s="176"/>
    </row>
    <row r="6" spans="1:8" ht="16.8">
      <c r="A6" s="170"/>
      <c r="B6" s="181"/>
      <c r="C6" s="182"/>
      <c r="D6" s="183"/>
      <c r="E6" s="184"/>
      <c r="F6" s="185"/>
      <c r="G6" s="186"/>
      <c r="H6" s="187"/>
    </row>
    <row r="7" spans="1:8" ht="15" thickBot="1">
      <c r="A7" s="188" t="s">
        <v>1184</v>
      </c>
      <c r="B7" s="189" t="s">
        <v>78</v>
      </c>
      <c r="C7" s="190" t="s">
        <v>1185</v>
      </c>
      <c r="D7" s="188" t="s">
        <v>80</v>
      </c>
      <c r="E7" s="191" t="s">
        <v>1186</v>
      </c>
      <c r="F7" s="192" t="s">
        <v>1187</v>
      </c>
      <c r="G7" s="188" t="s">
        <v>1188</v>
      </c>
      <c r="H7" s="188" t="s">
        <v>1189</v>
      </c>
    </row>
    <row r="8" spans="1:8" ht="15.6">
      <c r="A8" s="193"/>
      <c r="B8" s="194"/>
      <c r="C8" s="195"/>
      <c r="D8" s="196"/>
      <c r="E8" s="197"/>
      <c r="F8" s="198"/>
      <c r="G8" s="199"/>
      <c r="H8" s="200"/>
    </row>
    <row r="9" spans="1:8" ht="15.6">
      <c r="A9" s="201" t="s">
        <v>1190</v>
      </c>
      <c r="B9" s="201" t="s">
        <v>1191</v>
      </c>
      <c r="C9" s="202" t="s">
        <v>1192</v>
      </c>
      <c r="D9" s="203"/>
      <c r="E9" s="204"/>
      <c r="F9" s="205"/>
      <c r="G9" s="206"/>
      <c r="H9" s="207"/>
    </row>
    <row r="10" spans="1:8" ht="15">
      <c r="A10" s="208"/>
      <c r="B10" s="209"/>
      <c r="C10" s="210" t="s">
        <v>1193</v>
      </c>
      <c r="D10" s="211"/>
      <c r="E10" s="212"/>
      <c r="F10" s="213"/>
      <c r="G10" s="214"/>
      <c r="H10" s="215"/>
    </row>
    <row r="11" spans="1:8" ht="15">
      <c r="A11" s="216">
        <v>1</v>
      </c>
      <c r="B11" s="217"/>
      <c r="C11" s="218" t="s">
        <v>1194</v>
      </c>
      <c r="D11" s="217" t="s">
        <v>1195</v>
      </c>
      <c r="E11" s="219">
        <f>10*1.2*0.9*0.5-10*0.8*0.6*0.3</f>
        <v>3.9600000000000004</v>
      </c>
      <c r="F11" s="220"/>
      <c r="G11" s="220">
        <v>0</v>
      </c>
      <c r="H11" s="221">
        <f>F11*E11+G11*E11</f>
        <v>0</v>
      </c>
    </row>
    <row r="12" spans="1:8" ht="15">
      <c r="A12" s="216"/>
      <c r="B12" s="217"/>
      <c r="C12" s="222" t="s">
        <v>1196</v>
      </c>
      <c r="D12" s="217"/>
      <c r="E12" s="219"/>
      <c r="F12" s="220"/>
      <c r="G12" s="220"/>
      <c r="H12" s="221"/>
    </row>
    <row r="13" spans="1:8" ht="15">
      <c r="A13" s="216">
        <f>A11+1</f>
        <v>2</v>
      </c>
      <c r="B13" s="217"/>
      <c r="C13" s="218" t="s">
        <v>1197</v>
      </c>
      <c r="D13" s="217" t="s">
        <v>1195</v>
      </c>
      <c r="E13" s="219">
        <v>0.57525</v>
      </c>
      <c r="F13" s="220"/>
      <c r="G13" s="220">
        <v>0</v>
      </c>
      <c r="H13" s="221">
        <f aca="true" t="shared" si="0" ref="H13:H22">F13*E13+G13*E13</f>
        <v>0</v>
      </c>
    </row>
    <row r="14" spans="1:8" ht="15">
      <c r="A14" s="216"/>
      <c r="B14" s="217"/>
      <c r="C14" s="222" t="s">
        <v>1198</v>
      </c>
      <c r="D14" s="217"/>
      <c r="E14" s="219"/>
      <c r="F14" s="220"/>
      <c r="G14" s="220"/>
      <c r="H14" s="221"/>
    </row>
    <row r="15" spans="1:8" ht="23.25" customHeight="1">
      <c r="A15" s="216">
        <f>A13+1</f>
        <v>3</v>
      </c>
      <c r="B15" s="217"/>
      <c r="C15" s="218" t="s">
        <v>1199</v>
      </c>
      <c r="D15" s="217" t="s">
        <v>132</v>
      </c>
      <c r="E15" s="219">
        <v>5.895825000000001</v>
      </c>
      <c r="F15" s="220"/>
      <c r="G15" s="220">
        <v>0</v>
      </c>
      <c r="H15" s="221">
        <f t="shared" si="0"/>
        <v>0</v>
      </c>
    </row>
    <row r="16" spans="1:8" ht="15">
      <c r="A16" s="216"/>
      <c r="B16" s="217"/>
      <c r="C16" s="222" t="s">
        <v>1200</v>
      </c>
      <c r="D16" s="217"/>
      <c r="E16" s="219"/>
      <c r="F16" s="220"/>
      <c r="G16" s="220"/>
      <c r="H16" s="221"/>
    </row>
    <row r="17" spans="1:8" ht="15">
      <c r="A17" s="216">
        <f>A15+1</f>
        <v>4</v>
      </c>
      <c r="B17" s="217"/>
      <c r="C17" s="218" t="s">
        <v>1201</v>
      </c>
      <c r="D17" s="217" t="s">
        <v>132</v>
      </c>
      <c r="E17" s="219">
        <v>5.895825000000001</v>
      </c>
      <c r="F17" s="220"/>
      <c r="G17" s="220">
        <v>0</v>
      </c>
      <c r="H17" s="221">
        <f t="shared" si="0"/>
        <v>0</v>
      </c>
    </row>
    <row r="18" spans="1:8" ht="15">
      <c r="A18" s="216">
        <f aca="true" t="shared" si="1" ref="A18:A22">A17+1</f>
        <v>5</v>
      </c>
      <c r="B18" s="217"/>
      <c r="C18" s="218" t="s">
        <v>1202</v>
      </c>
      <c r="D18" s="217" t="s">
        <v>132</v>
      </c>
      <c r="E18" s="219">
        <v>5.895825000000001</v>
      </c>
      <c r="F18" s="220"/>
      <c r="G18" s="220">
        <v>0</v>
      </c>
      <c r="H18" s="221">
        <f t="shared" si="0"/>
        <v>0</v>
      </c>
    </row>
    <row r="19" spans="1:8" ht="15">
      <c r="A19" s="216">
        <f t="shared" si="1"/>
        <v>6</v>
      </c>
      <c r="B19" s="217"/>
      <c r="C19" s="218" t="s">
        <v>1203</v>
      </c>
      <c r="D19" s="217" t="s">
        <v>306</v>
      </c>
      <c r="E19" s="219">
        <v>180</v>
      </c>
      <c r="F19" s="220"/>
      <c r="G19" s="220">
        <v>0</v>
      </c>
      <c r="H19" s="221">
        <f t="shared" si="0"/>
        <v>0</v>
      </c>
    </row>
    <row r="20" spans="1:8" ht="15">
      <c r="A20" s="216">
        <f t="shared" si="1"/>
        <v>7</v>
      </c>
      <c r="B20" s="217"/>
      <c r="C20" s="218" t="s">
        <v>1204</v>
      </c>
      <c r="D20" s="217" t="s">
        <v>306</v>
      </c>
      <c r="E20" s="219">
        <v>6</v>
      </c>
      <c r="F20" s="220"/>
      <c r="G20" s="220">
        <v>0</v>
      </c>
      <c r="H20" s="221">
        <f t="shared" si="0"/>
        <v>0</v>
      </c>
    </row>
    <row r="21" spans="1:8" ht="15">
      <c r="A21" s="216">
        <f t="shared" si="1"/>
        <v>8</v>
      </c>
      <c r="B21" s="217"/>
      <c r="C21" s="218" t="s">
        <v>1205</v>
      </c>
      <c r="D21" s="217" t="s">
        <v>1206</v>
      </c>
      <c r="E21" s="219">
        <v>1</v>
      </c>
      <c r="F21" s="220"/>
      <c r="G21" s="220">
        <v>0</v>
      </c>
      <c r="H21" s="221">
        <f t="shared" si="0"/>
        <v>0</v>
      </c>
    </row>
    <row r="22" spans="1:8" ht="22.8">
      <c r="A22" s="216">
        <f t="shared" si="1"/>
        <v>9</v>
      </c>
      <c r="B22" s="217"/>
      <c r="C22" s="218" t="s">
        <v>1207</v>
      </c>
      <c r="D22" s="217" t="s">
        <v>209</v>
      </c>
      <c r="E22" s="219">
        <v>1500</v>
      </c>
      <c r="F22" s="220"/>
      <c r="G22" s="220">
        <v>0</v>
      </c>
      <c r="H22" s="221">
        <f t="shared" si="0"/>
        <v>0</v>
      </c>
    </row>
    <row r="23" spans="1:8" ht="15">
      <c r="A23" s="223"/>
      <c r="B23" s="224"/>
      <c r="C23" s="225"/>
      <c r="D23" s="224"/>
      <c r="E23" s="226"/>
      <c r="F23" s="227"/>
      <c r="G23" s="227"/>
      <c r="H23" s="228">
        <f>SUM(H11:H22)</f>
        <v>0</v>
      </c>
    </row>
    <row r="24" spans="1:8" ht="14.25" customHeight="1">
      <c r="A24" s="208"/>
      <c r="B24" s="209"/>
      <c r="C24" s="210" t="s">
        <v>1208</v>
      </c>
      <c r="D24" s="211"/>
      <c r="E24" s="212"/>
      <c r="F24" s="213"/>
      <c r="G24" s="214"/>
      <c r="H24" s="215"/>
    </row>
    <row r="25" spans="1:8" ht="15">
      <c r="A25" s="216">
        <f>A22+1</f>
        <v>10</v>
      </c>
      <c r="B25" s="217"/>
      <c r="C25" s="218" t="s">
        <v>1209</v>
      </c>
      <c r="D25" s="217" t="s">
        <v>1195</v>
      </c>
      <c r="E25" s="219">
        <v>0.05</v>
      </c>
      <c r="F25" s="220">
        <v>0</v>
      </c>
      <c r="G25" s="220">
        <v>0</v>
      </c>
      <c r="H25" s="221">
        <f aca="true" t="shared" si="2" ref="H25:H30">F25*E25+G25*E25</f>
        <v>0</v>
      </c>
    </row>
    <row r="26" spans="1:8" ht="15">
      <c r="A26" s="216"/>
      <c r="B26" s="217"/>
      <c r="C26" s="229" t="s">
        <v>1210</v>
      </c>
      <c r="D26" s="217"/>
      <c r="E26" s="219"/>
      <c r="F26" s="220"/>
      <c r="G26" s="220"/>
      <c r="H26" s="221"/>
    </row>
    <row r="27" spans="1:8" ht="15">
      <c r="A27" s="216">
        <f>A25+1</f>
        <v>11</v>
      </c>
      <c r="B27" s="217"/>
      <c r="C27" s="218" t="s">
        <v>1211</v>
      </c>
      <c r="D27" s="217" t="s">
        <v>306</v>
      </c>
      <c r="E27" s="219">
        <v>1</v>
      </c>
      <c r="F27" s="220">
        <v>0</v>
      </c>
      <c r="G27" s="220">
        <v>0</v>
      </c>
      <c r="H27" s="221">
        <f t="shared" si="2"/>
        <v>0</v>
      </c>
    </row>
    <row r="28" spans="1:8" ht="15">
      <c r="A28" s="216">
        <f>A27+1</f>
        <v>12</v>
      </c>
      <c r="B28" s="217"/>
      <c r="C28" s="218" t="s">
        <v>1212</v>
      </c>
      <c r="D28" s="217" t="s">
        <v>1213</v>
      </c>
      <c r="E28" s="219">
        <v>0.84</v>
      </c>
      <c r="F28" s="220"/>
      <c r="G28" s="220">
        <v>0</v>
      </c>
      <c r="H28" s="221">
        <f t="shared" si="2"/>
        <v>0</v>
      </c>
    </row>
    <row r="29" spans="1:8" ht="15">
      <c r="A29" s="216">
        <f>A27+1</f>
        <v>12</v>
      </c>
      <c r="B29" s="217"/>
      <c r="C29" s="218" t="s">
        <v>1214</v>
      </c>
      <c r="D29" s="217" t="s">
        <v>306</v>
      </c>
      <c r="E29" s="219">
        <v>32</v>
      </c>
      <c r="F29" s="220">
        <v>0</v>
      </c>
      <c r="G29" s="220">
        <v>0</v>
      </c>
      <c r="H29" s="221">
        <f t="shared" si="2"/>
        <v>0</v>
      </c>
    </row>
    <row r="30" spans="1:8" ht="15">
      <c r="A30" s="216">
        <f>A29+1</f>
        <v>13</v>
      </c>
      <c r="B30" s="217"/>
      <c r="C30" s="218" t="s">
        <v>1215</v>
      </c>
      <c r="D30" s="217" t="s">
        <v>1195</v>
      </c>
      <c r="E30" s="219">
        <v>0.126</v>
      </c>
      <c r="F30" s="220">
        <v>0</v>
      </c>
      <c r="G30" s="220">
        <v>0</v>
      </c>
      <c r="H30" s="221">
        <f t="shared" si="2"/>
        <v>0</v>
      </c>
    </row>
    <row r="31" spans="1:8" ht="15">
      <c r="A31" s="216"/>
      <c r="B31" s="217"/>
      <c r="C31" s="229" t="s">
        <v>1210</v>
      </c>
      <c r="D31" s="217"/>
      <c r="E31" s="219"/>
      <c r="F31" s="220"/>
      <c r="G31" s="220"/>
      <c r="H31" s="221"/>
    </row>
    <row r="32" spans="1:8" ht="15">
      <c r="A32" s="216"/>
      <c r="B32" s="217"/>
      <c r="C32" s="222" t="s">
        <v>1216</v>
      </c>
      <c r="D32" s="217"/>
      <c r="E32" s="219"/>
      <c r="F32" s="220"/>
      <c r="G32" s="220"/>
      <c r="H32" s="221"/>
    </row>
    <row r="33" spans="1:8" ht="15">
      <c r="A33" s="216">
        <f>A30+1</f>
        <v>14</v>
      </c>
      <c r="B33" s="217"/>
      <c r="C33" s="218" t="s">
        <v>1217</v>
      </c>
      <c r="D33" s="217" t="s">
        <v>1213</v>
      </c>
      <c r="E33" s="219">
        <f>(2*0.6*0.7+1*0.7)*1.2</f>
        <v>1.8479999999999999</v>
      </c>
      <c r="F33" s="220">
        <v>0</v>
      </c>
      <c r="G33" s="220">
        <v>0</v>
      </c>
      <c r="H33" s="221">
        <f aca="true" t="shared" si="3" ref="H33:H59">F33*E33+G33*E33</f>
        <v>0</v>
      </c>
    </row>
    <row r="34" spans="1:8" ht="15">
      <c r="A34" s="216"/>
      <c r="B34" s="217"/>
      <c r="C34" s="222" t="s">
        <v>1218</v>
      </c>
      <c r="D34" s="217"/>
      <c r="E34" s="219"/>
      <c r="F34" s="220"/>
      <c r="G34" s="220"/>
      <c r="H34" s="221"/>
    </row>
    <row r="35" spans="1:8" ht="15">
      <c r="A35" s="216">
        <f>A33+1</f>
        <v>15</v>
      </c>
      <c r="B35" s="217"/>
      <c r="C35" s="218" t="s">
        <v>1219</v>
      </c>
      <c r="D35" s="217" t="s">
        <v>1213</v>
      </c>
      <c r="E35" s="219">
        <v>2</v>
      </c>
      <c r="F35" s="220">
        <v>0</v>
      </c>
      <c r="G35" s="220">
        <v>0</v>
      </c>
      <c r="H35" s="221">
        <f t="shared" si="3"/>
        <v>0</v>
      </c>
    </row>
    <row r="36" spans="1:8" ht="15">
      <c r="A36" s="216"/>
      <c r="B36" s="217"/>
      <c r="C36" s="229" t="s">
        <v>1220</v>
      </c>
      <c r="D36" s="217"/>
      <c r="E36" s="219"/>
      <c r="F36" s="220"/>
      <c r="G36" s="220"/>
      <c r="H36" s="221"/>
    </row>
    <row r="37" spans="1:8" ht="15">
      <c r="A37" s="216">
        <f>A35+1</f>
        <v>16</v>
      </c>
      <c r="B37" s="217"/>
      <c r="C37" s="218" t="s">
        <v>1221</v>
      </c>
      <c r="D37" s="217" t="s">
        <v>306</v>
      </c>
      <c r="E37" s="219">
        <v>2</v>
      </c>
      <c r="F37" s="220">
        <v>0</v>
      </c>
      <c r="G37" s="220">
        <v>0</v>
      </c>
      <c r="H37" s="221">
        <f t="shared" si="3"/>
        <v>0</v>
      </c>
    </row>
    <row r="38" spans="1:8" ht="15">
      <c r="A38" s="216"/>
      <c r="B38" s="217"/>
      <c r="C38" s="229" t="s">
        <v>1222</v>
      </c>
      <c r="D38" s="217"/>
      <c r="E38" s="219"/>
      <c r="F38" s="220"/>
      <c r="G38" s="220"/>
      <c r="H38" s="221"/>
    </row>
    <row r="39" spans="1:8" ht="15">
      <c r="A39" s="216"/>
      <c r="B39" s="217"/>
      <c r="C39" s="229" t="s">
        <v>1223</v>
      </c>
      <c r="D39" s="217"/>
      <c r="E39" s="219"/>
      <c r="F39" s="220"/>
      <c r="G39" s="220"/>
      <c r="H39" s="221"/>
    </row>
    <row r="40" spans="1:8" ht="15">
      <c r="A40" s="216">
        <f>A37+1</f>
        <v>17</v>
      </c>
      <c r="B40" s="217"/>
      <c r="C40" s="218" t="s">
        <v>1224</v>
      </c>
      <c r="D40" s="217" t="s">
        <v>1195</v>
      </c>
      <c r="E40" s="219">
        <v>0.06</v>
      </c>
      <c r="F40" s="220">
        <v>0</v>
      </c>
      <c r="G40" s="220">
        <v>0</v>
      </c>
      <c r="H40" s="221">
        <f aca="true" t="shared" si="4" ref="H40">F40*E40+G40*E40</f>
        <v>0</v>
      </c>
    </row>
    <row r="41" spans="1:8" ht="15">
      <c r="A41" s="216"/>
      <c r="B41" s="217"/>
      <c r="C41" s="229" t="s">
        <v>1210</v>
      </c>
      <c r="D41" s="217"/>
      <c r="E41" s="219"/>
      <c r="F41" s="220"/>
      <c r="G41" s="220"/>
      <c r="H41" s="221"/>
    </row>
    <row r="42" spans="1:8" ht="15">
      <c r="A42" s="216">
        <f>A40+1</f>
        <v>18</v>
      </c>
      <c r="B42" s="217"/>
      <c r="C42" s="218" t="s">
        <v>1225</v>
      </c>
      <c r="D42" s="217" t="s">
        <v>306</v>
      </c>
      <c r="E42" s="219">
        <v>3</v>
      </c>
      <c r="F42" s="220">
        <v>0</v>
      </c>
      <c r="G42" s="220"/>
      <c r="H42" s="221">
        <f t="shared" si="3"/>
        <v>0</v>
      </c>
    </row>
    <row r="43" spans="1:8" ht="15">
      <c r="A43" s="216"/>
      <c r="B43" s="217"/>
      <c r="C43" s="229" t="s">
        <v>1226</v>
      </c>
      <c r="D43" s="217"/>
      <c r="E43" s="219"/>
      <c r="F43" s="220"/>
      <c r="G43" s="220"/>
      <c r="H43" s="221"/>
    </row>
    <row r="44" spans="1:8" ht="15">
      <c r="A44" s="216">
        <f>A42+1</f>
        <v>19</v>
      </c>
      <c r="B44" s="217"/>
      <c r="C44" s="218" t="s">
        <v>1227</v>
      </c>
      <c r="D44" s="217" t="s">
        <v>306</v>
      </c>
      <c r="E44" s="219">
        <v>1</v>
      </c>
      <c r="F44" s="220">
        <v>0</v>
      </c>
      <c r="G44" s="220"/>
      <c r="H44" s="221">
        <f aca="true" t="shared" si="5" ref="H44">F44*E44+G44*E44</f>
        <v>0</v>
      </c>
    </row>
    <row r="45" spans="1:8" ht="15">
      <c r="A45" s="216"/>
      <c r="B45" s="217"/>
      <c r="C45" s="229" t="s">
        <v>1226</v>
      </c>
      <c r="D45" s="217"/>
      <c r="E45" s="219"/>
      <c r="F45" s="220"/>
      <c r="G45" s="220"/>
      <c r="H45" s="221"/>
    </row>
    <row r="46" spans="1:8" ht="22.8">
      <c r="A46" s="216">
        <f>A44+1</f>
        <v>20</v>
      </c>
      <c r="B46" s="217"/>
      <c r="C46" s="218" t="s">
        <v>1228</v>
      </c>
      <c r="D46" s="217" t="s">
        <v>306</v>
      </c>
      <c r="E46" s="219">
        <v>3</v>
      </c>
      <c r="F46" s="220">
        <v>0</v>
      </c>
      <c r="G46" s="220">
        <v>0</v>
      </c>
      <c r="H46" s="221">
        <f t="shared" si="3"/>
        <v>0</v>
      </c>
    </row>
    <row r="47" spans="1:8" ht="15">
      <c r="A47" s="216"/>
      <c r="B47" s="217"/>
      <c r="C47" s="229" t="s">
        <v>1229</v>
      </c>
      <c r="D47" s="217"/>
      <c r="E47" s="219"/>
      <c r="F47" s="220"/>
      <c r="G47" s="220"/>
      <c r="H47" s="221"/>
    </row>
    <row r="48" spans="1:8" ht="22.8">
      <c r="A48" s="216">
        <f>A46+1</f>
        <v>21</v>
      </c>
      <c r="B48" s="217"/>
      <c r="C48" s="218" t="s">
        <v>1230</v>
      </c>
      <c r="D48" s="217" t="s">
        <v>306</v>
      </c>
      <c r="E48" s="219">
        <v>1</v>
      </c>
      <c r="F48" s="220">
        <v>0</v>
      </c>
      <c r="G48" s="220">
        <v>0</v>
      </c>
      <c r="H48" s="221">
        <f t="shared" si="3"/>
        <v>0</v>
      </c>
    </row>
    <row r="49" spans="1:8" ht="15">
      <c r="A49" s="216"/>
      <c r="B49" s="217"/>
      <c r="C49" s="229" t="s">
        <v>1229</v>
      </c>
      <c r="D49" s="217"/>
      <c r="E49" s="219"/>
      <c r="F49" s="220"/>
      <c r="G49" s="220"/>
      <c r="H49" s="221"/>
    </row>
    <row r="50" spans="1:8" ht="15">
      <c r="A50" s="216">
        <f>A48+1</f>
        <v>22</v>
      </c>
      <c r="B50" s="217"/>
      <c r="C50" s="218" t="s">
        <v>1231</v>
      </c>
      <c r="D50" s="217" t="s">
        <v>306</v>
      </c>
      <c r="E50" s="219">
        <v>1</v>
      </c>
      <c r="F50" s="220">
        <v>0</v>
      </c>
      <c r="G50" s="220">
        <v>0</v>
      </c>
      <c r="H50" s="221">
        <f t="shared" si="3"/>
        <v>0</v>
      </c>
    </row>
    <row r="51" spans="1:8" ht="15">
      <c r="A51" s="216"/>
      <c r="B51" s="217"/>
      <c r="C51" s="229" t="s">
        <v>1232</v>
      </c>
      <c r="D51" s="217"/>
      <c r="E51" s="219"/>
      <c r="F51" s="220"/>
      <c r="G51" s="220"/>
      <c r="H51" s="221"/>
    </row>
    <row r="52" spans="1:8" ht="15">
      <c r="A52" s="216">
        <f>A50+1</f>
        <v>23</v>
      </c>
      <c r="B52" s="217"/>
      <c r="C52" s="218" t="s">
        <v>1233</v>
      </c>
      <c r="D52" s="217" t="s">
        <v>306</v>
      </c>
      <c r="E52" s="219">
        <v>5</v>
      </c>
      <c r="F52" s="220">
        <v>0</v>
      </c>
      <c r="G52" s="220">
        <v>0</v>
      </c>
      <c r="H52" s="221">
        <f t="shared" si="3"/>
        <v>0</v>
      </c>
    </row>
    <row r="53" spans="1:8" ht="15">
      <c r="A53" s="216"/>
      <c r="B53" s="217"/>
      <c r="C53" s="222" t="s">
        <v>1234</v>
      </c>
      <c r="D53" s="217"/>
      <c r="E53" s="219"/>
      <c r="F53" s="220"/>
      <c r="G53" s="220"/>
      <c r="H53" s="221"/>
    </row>
    <row r="54" spans="1:8" ht="15">
      <c r="A54" s="216">
        <f>A52+1</f>
        <v>24</v>
      </c>
      <c r="B54" s="217"/>
      <c r="C54" s="218" t="s">
        <v>1235</v>
      </c>
      <c r="D54" s="217" t="s">
        <v>306</v>
      </c>
      <c r="E54" s="219">
        <v>2</v>
      </c>
      <c r="F54" s="220">
        <v>0</v>
      </c>
      <c r="G54" s="220">
        <v>0</v>
      </c>
      <c r="H54" s="221">
        <f t="shared" si="3"/>
        <v>0</v>
      </c>
    </row>
    <row r="55" spans="1:8" ht="15">
      <c r="A55" s="216"/>
      <c r="B55" s="217"/>
      <c r="C55" s="222" t="s">
        <v>1236</v>
      </c>
      <c r="D55" s="217"/>
      <c r="E55" s="219"/>
      <c r="F55" s="220"/>
      <c r="G55" s="220"/>
      <c r="H55" s="221"/>
    </row>
    <row r="56" spans="1:8" ht="15">
      <c r="A56" s="216">
        <f>A54+1</f>
        <v>25</v>
      </c>
      <c r="B56" s="217"/>
      <c r="C56" s="218" t="s">
        <v>1237</v>
      </c>
      <c r="D56" s="217" t="s">
        <v>306</v>
      </c>
      <c r="E56" s="219">
        <v>1</v>
      </c>
      <c r="F56" s="220">
        <v>0</v>
      </c>
      <c r="G56" s="220">
        <v>0</v>
      </c>
      <c r="H56" s="221">
        <f t="shared" si="3"/>
        <v>0</v>
      </c>
    </row>
    <row r="57" spans="1:8" ht="15">
      <c r="A57" s="216"/>
      <c r="B57" s="217"/>
      <c r="C57" s="222" t="s">
        <v>1236</v>
      </c>
      <c r="D57" s="217"/>
      <c r="E57" s="219"/>
      <c r="F57" s="220"/>
      <c r="G57" s="220"/>
      <c r="H57" s="221"/>
    </row>
    <row r="58" spans="1:8" ht="15">
      <c r="A58" s="216">
        <f>A56+1</f>
        <v>26</v>
      </c>
      <c r="B58" s="217"/>
      <c r="C58" s="218" t="s">
        <v>1238</v>
      </c>
      <c r="D58" s="217" t="s">
        <v>306</v>
      </c>
      <c r="E58" s="219">
        <v>3</v>
      </c>
      <c r="F58" s="220">
        <v>0</v>
      </c>
      <c r="G58" s="220">
        <v>0</v>
      </c>
      <c r="H58" s="221">
        <f t="shared" si="3"/>
        <v>0</v>
      </c>
    </row>
    <row r="59" spans="1:8" ht="15">
      <c r="A59" s="216">
        <f aca="true" t="shared" si="6" ref="A59">A58+1</f>
        <v>27</v>
      </c>
      <c r="B59" s="217"/>
      <c r="C59" s="218" t="s">
        <v>1239</v>
      </c>
      <c r="D59" s="217" t="s">
        <v>1213</v>
      </c>
      <c r="E59" s="219">
        <v>12</v>
      </c>
      <c r="F59" s="220">
        <v>0</v>
      </c>
      <c r="G59" s="220">
        <v>0</v>
      </c>
      <c r="H59" s="221">
        <f t="shared" si="3"/>
        <v>0</v>
      </c>
    </row>
    <row r="60" spans="1:8" ht="15">
      <c r="A60" s="223"/>
      <c r="B60" s="224"/>
      <c r="C60" s="225"/>
      <c r="D60" s="224"/>
      <c r="E60" s="226"/>
      <c r="F60" s="227"/>
      <c r="G60" s="227"/>
      <c r="H60" s="228">
        <f>SUM(H25:H59)</f>
        <v>0</v>
      </c>
    </row>
    <row r="61" spans="1:8" ht="15">
      <c r="A61" s="208"/>
      <c r="B61" s="209"/>
      <c r="C61" s="210" t="s">
        <v>1240</v>
      </c>
      <c r="D61" s="211"/>
      <c r="E61" s="212"/>
      <c r="F61" s="213"/>
      <c r="G61" s="214"/>
      <c r="H61" s="215"/>
    </row>
    <row r="62" spans="1:8" ht="27" customHeight="1">
      <c r="A62" s="216">
        <f>A59+1</f>
        <v>28</v>
      </c>
      <c r="B62" s="209"/>
      <c r="C62" s="218" t="s">
        <v>1241</v>
      </c>
      <c r="D62" s="217" t="s">
        <v>209</v>
      </c>
      <c r="E62" s="219">
        <v>600</v>
      </c>
      <c r="F62" s="220"/>
      <c r="G62" s="220">
        <v>0</v>
      </c>
      <c r="H62" s="221">
        <f aca="true" t="shared" si="7" ref="H62:H70">F62*E62+G62*E62</f>
        <v>0</v>
      </c>
    </row>
    <row r="63" spans="1:8" ht="27" customHeight="1">
      <c r="A63" s="216">
        <f>A62+1</f>
        <v>29</v>
      </c>
      <c r="B63" s="217"/>
      <c r="C63" s="218" t="s">
        <v>1242</v>
      </c>
      <c r="D63" s="217" t="s">
        <v>209</v>
      </c>
      <c r="E63" s="219">
        <v>2200</v>
      </c>
      <c r="F63" s="220"/>
      <c r="G63" s="220">
        <v>0</v>
      </c>
      <c r="H63" s="221">
        <f t="shared" si="7"/>
        <v>0</v>
      </c>
    </row>
    <row r="64" spans="1:8" ht="15">
      <c r="A64" s="216">
        <f>A63+1</f>
        <v>30</v>
      </c>
      <c r="B64" s="217"/>
      <c r="C64" s="218" t="s">
        <v>1243</v>
      </c>
      <c r="D64" s="217" t="s">
        <v>1195</v>
      </c>
      <c r="E64" s="219">
        <v>88.8</v>
      </c>
      <c r="F64" s="220">
        <v>0</v>
      </c>
      <c r="G64" s="220">
        <v>0</v>
      </c>
      <c r="H64" s="221">
        <f t="shared" si="7"/>
        <v>0</v>
      </c>
    </row>
    <row r="65" spans="1:8" ht="15">
      <c r="A65" s="216"/>
      <c r="B65" s="217"/>
      <c r="C65" s="222" t="s">
        <v>1244</v>
      </c>
      <c r="D65" s="217"/>
      <c r="E65" s="219"/>
      <c r="F65" s="220"/>
      <c r="G65" s="220"/>
      <c r="H65" s="221"/>
    </row>
    <row r="66" spans="1:8" ht="27" customHeight="1">
      <c r="A66" s="216">
        <f>A64+1</f>
        <v>31</v>
      </c>
      <c r="B66" s="217"/>
      <c r="C66" s="218" t="s">
        <v>1245</v>
      </c>
      <c r="D66" s="217" t="s">
        <v>1195</v>
      </c>
      <c r="E66" s="219">
        <f>600*0.4*0.55+2200*0.16*0.2</f>
        <v>202.4</v>
      </c>
      <c r="F66" s="220"/>
      <c r="G66" s="220">
        <v>0</v>
      </c>
      <c r="H66" s="221">
        <f t="shared" si="7"/>
        <v>0</v>
      </c>
    </row>
    <row r="67" spans="1:8" ht="15">
      <c r="A67" s="216"/>
      <c r="B67" s="217"/>
      <c r="C67" s="222" t="s">
        <v>1246</v>
      </c>
      <c r="D67" s="217"/>
      <c r="E67" s="219"/>
      <c r="F67" s="220"/>
      <c r="G67" s="220"/>
      <c r="H67" s="221"/>
    </row>
    <row r="68" spans="1:8" ht="15">
      <c r="A68" s="216">
        <f aca="true" t="shared" si="8" ref="A68">A66+1</f>
        <v>32</v>
      </c>
      <c r="B68" s="217"/>
      <c r="C68" s="218" t="s">
        <v>1247</v>
      </c>
      <c r="D68" s="217" t="s">
        <v>1195</v>
      </c>
      <c r="E68" s="219">
        <v>1.3</v>
      </c>
      <c r="F68" s="220">
        <v>0</v>
      </c>
      <c r="G68" s="220"/>
      <c r="H68" s="221">
        <f t="shared" si="7"/>
        <v>0</v>
      </c>
    </row>
    <row r="69" spans="1:8" ht="15">
      <c r="A69" s="216"/>
      <c r="B69" s="217"/>
      <c r="C69" s="222" t="s">
        <v>1248</v>
      </c>
      <c r="D69" s="217"/>
      <c r="E69" s="219"/>
      <c r="F69" s="220"/>
      <c r="G69" s="220"/>
      <c r="H69" s="221"/>
    </row>
    <row r="70" spans="1:8" ht="15">
      <c r="A70" s="216">
        <f>A68+1</f>
        <v>33</v>
      </c>
      <c r="B70" s="217"/>
      <c r="C70" s="218" t="s">
        <v>1249</v>
      </c>
      <c r="D70" s="217" t="s">
        <v>209</v>
      </c>
      <c r="E70" s="219">
        <v>2800</v>
      </c>
      <c r="F70" s="220">
        <v>0</v>
      </c>
      <c r="G70" s="220">
        <v>0</v>
      </c>
      <c r="H70" s="221">
        <f t="shared" si="7"/>
        <v>0</v>
      </c>
    </row>
    <row r="71" spans="1:8" ht="15">
      <c r="A71" s="223"/>
      <c r="B71" s="224"/>
      <c r="C71" s="225"/>
      <c r="D71" s="224"/>
      <c r="E71" s="226"/>
      <c r="F71" s="227"/>
      <c r="G71" s="227"/>
      <c r="H71" s="228">
        <f>SUM(H62:H70)</f>
        <v>0</v>
      </c>
    </row>
    <row r="72" spans="1:8" ht="15">
      <c r="A72" s="208"/>
      <c r="B72" s="209"/>
      <c r="C72" s="210" t="s">
        <v>1250</v>
      </c>
      <c r="D72" s="211"/>
      <c r="E72" s="212"/>
      <c r="F72" s="213"/>
      <c r="G72" s="213"/>
      <c r="H72" s="230"/>
    </row>
    <row r="73" spans="1:8" ht="15">
      <c r="A73" s="216">
        <f>A70+1</f>
        <v>34</v>
      </c>
      <c r="B73" s="217"/>
      <c r="C73" s="218" t="s">
        <v>1251</v>
      </c>
      <c r="D73" s="231" t="s">
        <v>1252</v>
      </c>
      <c r="E73" s="219">
        <v>300</v>
      </c>
      <c r="F73" s="232">
        <v>0</v>
      </c>
      <c r="G73" s="220">
        <v>0</v>
      </c>
      <c r="H73" s="221">
        <f aca="true" t="shared" si="9" ref="H73:H88">F73*E73+G73*E73</f>
        <v>0</v>
      </c>
    </row>
    <row r="74" spans="1:8" ht="15">
      <c r="A74" s="216">
        <f>A73+1</f>
        <v>35</v>
      </c>
      <c r="B74" s="217"/>
      <c r="C74" s="218" t="s">
        <v>1253</v>
      </c>
      <c r="D74" s="231" t="s">
        <v>306</v>
      </c>
      <c r="E74" s="219">
        <v>6</v>
      </c>
      <c r="F74" s="232">
        <v>0</v>
      </c>
      <c r="G74" s="220">
        <v>0</v>
      </c>
      <c r="H74" s="221">
        <f t="shared" si="9"/>
        <v>0</v>
      </c>
    </row>
    <row r="75" spans="1:8" ht="15">
      <c r="A75" s="216">
        <f aca="true" t="shared" si="10" ref="A75:A87">A74+1</f>
        <v>36</v>
      </c>
      <c r="B75" s="217"/>
      <c r="C75" s="218" t="s">
        <v>1254</v>
      </c>
      <c r="D75" s="231" t="s">
        <v>1252</v>
      </c>
      <c r="E75" s="219">
        <v>200</v>
      </c>
      <c r="F75" s="232">
        <v>0</v>
      </c>
      <c r="G75" s="220">
        <v>0</v>
      </c>
      <c r="H75" s="221">
        <f t="shared" si="9"/>
        <v>0</v>
      </c>
    </row>
    <row r="76" spans="1:8" ht="15">
      <c r="A76" s="216">
        <f t="shared" si="10"/>
        <v>37</v>
      </c>
      <c r="B76" s="217"/>
      <c r="C76" s="218" t="s">
        <v>1255</v>
      </c>
      <c r="D76" s="231" t="s">
        <v>1252</v>
      </c>
      <c r="E76" s="219">
        <v>1900</v>
      </c>
      <c r="F76" s="232">
        <v>0</v>
      </c>
      <c r="G76" s="220">
        <v>0</v>
      </c>
      <c r="H76" s="221">
        <f t="shared" si="9"/>
        <v>0</v>
      </c>
    </row>
    <row r="77" spans="1:8" ht="15">
      <c r="A77" s="216">
        <f t="shared" si="10"/>
        <v>38</v>
      </c>
      <c r="B77" s="217"/>
      <c r="C77" s="218" t="s">
        <v>1256</v>
      </c>
      <c r="D77" s="231" t="s">
        <v>1252</v>
      </c>
      <c r="E77" s="219">
        <v>2100</v>
      </c>
      <c r="F77" s="232">
        <v>0</v>
      </c>
      <c r="G77" s="220">
        <v>0</v>
      </c>
      <c r="H77" s="221">
        <f t="shared" si="9"/>
        <v>0</v>
      </c>
    </row>
    <row r="78" spans="1:8" ht="15">
      <c r="A78" s="216">
        <f t="shared" si="10"/>
        <v>39</v>
      </c>
      <c r="B78" s="217"/>
      <c r="C78" s="218" t="s">
        <v>1257</v>
      </c>
      <c r="D78" s="231" t="s">
        <v>306</v>
      </c>
      <c r="E78" s="219">
        <v>3</v>
      </c>
      <c r="F78" s="232">
        <v>0</v>
      </c>
      <c r="G78" s="220">
        <v>0</v>
      </c>
      <c r="H78" s="221">
        <f t="shared" si="9"/>
        <v>0</v>
      </c>
    </row>
    <row r="79" spans="1:8" ht="15">
      <c r="A79" s="216">
        <f t="shared" si="10"/>
        <v>40</v>
      </c>
      <c r="B79" s="217"/>
      <c r="C79" s="218" t="s">
        <v>1258</v>
      </c>
      <c r="D79" s="231" t="s">
        <v>1206</v>
      </c>
      <c r="E79" s="219">
        <v>1</v>
      </c>
      <c r="F79" s="232">
        <v>0</v>
      </c>
      <c r="G79" s="220">
        <v>0</v>
      </c>
      <c r="H79" s="221">
        <f t="shared" si="9"/>
        <v>0</v>
      </c>
    </row>
    <row r="80" spans="1:8" ht="15">
      <c r="A80" s="216">
        <f t="shared" si="10"/>
        <v>41</v>
      </c>
      <c r="B80" s="217"/>
      <c r="C80" s="218" t="s">
        <v>1259</v>
      </c>
      <c r="D80" s="231" t="s">
        <v>1252</v>
      </c>
      <c r="E80" s="219">
        <v>600</v>
      </c>
      <c r="F80" s="232">
        <v>0</v>
      </c>
      <c r="G80" s="220">
        <v>0</v>
      </c>
      <c r="H80" s="221">
        <f t="shared" si="9"/>
        <v>0</v>
      </c>
    </row>
    <row r="81" spans="1:8" ht="15">
      <c r="A81" s="216"/>
      <c r="B81" s="217"/>
      <c r="C81" s="229" t="s">
        <v>1260</v>
      </c>
      <c r="D81" s="231"/>
      <c r="E81" s="219"/>
      <c r="F81" s="232"/>
      <c r="G81" s="220"/>
      <c r="H81" s="221"/>
    </row>
    <row r="82" spans="1:8" ht="15">
      <c r="A82" s="216">
        <f>A80+1</f>
        <v>42</v>
      </c>
      <c r="B82" s="217"/>
      <c r="C82" s="218" t="s">
        <v>1261</v>
      </c>
      <c r="D82" s="231" t="s">
        <v>306</v>
      </c>
      <c r="E82" s="219">
        <v>60</v>
      </c>
      <c r="F82" s="232">
        <v>0</v>
      </c>
      <c r="G82" s="220">
        <v>0</v>
      </c>
      <c r="H82" s="221">
        <f t="shared" si="9"/>
        <v>0</v>
      </c>
    </row>
    <row r="83" spans="1:8" ht="15">
      <c r="A83" s="216">
        <f t="shared" si="10"/>
        <v>43</v>
      </c>
      <c r="B83" s="217"/>
      <c r="C83" s="218" t="s">
        <v>1262</v>
      </c>
      <c r="D83" s="231" t="s">
        <v>1252</v>
      </c>
      <c r="E83" s="219">
        <v>600</v>
      </c>
      <c r="F83" s="232">
        <v>0</v>
      </c>
      <c r="G83" s="220">
        <v>0</v>
      </c>
      <c r="H83" s="221">
        <f t="shared" si="9"/>
        <v>0</v>
      </c>
    </row>
    <row r="84" spans="1:8" ht="15">
      <c r="A84" s="216">
        <f t="shared" si="10"/>
        <v>44</v>
      </c>
      <c r="B84" s="217"/>
      <c r="C84" s="218" t="s">
        <v>1263</v>
      </c>
      <c r="D84" s="231" t="s">
        <v>1252</v>
      </c>
      <c r="E84" s="219">
        <v>100</v>
      </c>
      <c r="F84" s="232">
        <v>0</v>
      </c>
      <c r="G84" s="220">
        <v>0</v>
      </c>
      <c r="H84" s="221">
        <f t="shared" si="9"/>
        <v>0</v>
      </c>
    </row>
    <row r="85" spans="1:8" ht="15">
      <c r="A85" s="216">
        <f t="shared" si="10"/>
        <v>45</v>
      </c>
      <c r="B85" s="217"/>
      <c r="C85" s="218" t="s">
        <v>1264</v>
      </c>
      <c r="D85" s="231" t="s">
        <v>209</v>
      </c>
      <c r="E85" s="219">
        <v>200</v>
      </c>
      <c r="F85" s="232">
        <v>0</v>
      </c>
      <c r="G85" s="220">
        <v>0</v>
      </c>
      <c r="H85" s="221">
        <f t="shared" si="9"/>
        <v>0</v>
      </c>
    </row>
    <row r="86" spans="1:8" ht="15">
      <c r="A86" s="216">
        <f t="shared" si="10"/>
        <v>46</v>
      </c>
      <c r="B86" s="217"/>
      <c r="C86" s="218" t="s">
        <v>1265</v>
      </c>
      <c r="D86" s="231" t="s">
        <v>209</v>
      </c>
      <c r="E86" s="219">
        <v>25</v>
      </c>
      <c r="F86" s="232">
        <v>0</v>
      </c>
      <c r="G86" s="220">
        <v>0</v>
      </c>
      <c r="H86" s="221">
        <f t="shared" si="9"/>
        <v>0</v>
      </c>
    </row>
    <row r="87" spans="1:8" ht="15">
      <c r="A87" s="216">
        <f t="shared" si="10"/>
        <v>47</v>
      </c>
      <c r="B87" s="217"/>
      <c r="C87" s="218" t="s">
        <v>1266</v>
      </c>
      <c r="D87" s="231" t="s">
        <v>306</v>
      </c>
      <c r="E87" s="219">
        <v>1</v>
      </c>
      <c r="F87" s="232">
        <v>0</v>
      </c>
      <c r="G87" s="220">
        <v>0</v>
      </c>
      <c r="H87" s="221">
        <f t="shared" si="9"/>
        <v>0</v>
      </c>
    </row>
    <row r="88" spans="1:8" ht="15">
      <c r="A88" s="216">
        <f>A85+1</f>
        <v>46</v>
      </c>
      <c r="B88" s="217"/>
      <c r="C88" s="218" t="s">
        <v>1267</v>
      </c>
      <c r="D88" s="231" t="s">
        <v>306</v>
      </c>
      <c r="E88" s="219">
        <v>1</v>
      </c>
      <c r="F88" s="232">
        <v>0</v>
      </c>
      <c r="G88" s="220">
        <v>0</v>
      </c>
      <c r="H88" s="221">
        <f t="shared" si="9"/>
        <v>0</v>
      </c>
    </row>
    <row r="89" spans="1:8" ht="15">
      <c r="A89" s="223"/>
      <c r="B89" s="224"/>
      <c r="C89" s="225"/>
      <c r="D89" s="233"/>
      <c r="E89" s="226"/>
      <c r="F89" s="234"/>
      <c r="G89" s="234"/>
      <c r="H89" s="235">
        <f>SUM(H73:H88)</f>
        <v>0</v>
      </c>
    </row>
    <row r="90" spans="1:8" ht="15">
      <c r="A90" s="208"/>
      <c r="B90" s="209"/>
      <c r="C90" s="210" t="s">
        <v>1268</v>
      </c>
      <c r="D90" s="211"/>
      <c r="E90" s="212"/>
      <c r="F90" s="213"/>
      <c r="G90" s="213"/>
      <c r="H90" s="230"/>
    </row>
    <row r="91" spans="1:8" ht="15">
      <c r="A91" s="216">
        <f>A88+1</f>
        <v>47</v>
      </c>
      <c r="B91" s="217"/>
      <c r="C91" s="218" t="s">
        <v>1269</v>
      </c>
      <c r="D91" s="217" t="s">
        <v>306</v>
      </c>
      <c r="E91" s="236">
        <v>1</v>
      </c>
      <c r="F91" s="232">
        <v>0</v>
      </c>
      <c r="G91" s="220">
        <v>0</v>
      </c>
      <c r="H91" s="221">
        <f aca="true" t="shared" si="11" ref="H91:H110">F91*E91+G91*E91</f>
        <v>0</v>
      </c>
    </row>
    <row r="92" spans="1:8" ht="15">
      <c r="A92" s="216"/>
      <c r="B92" s="217"/>
      <c r="C92" s="229" t="s">
        <v>1270</v>
      </c>
      <c r="D92" s="217"/>
      <c r="E92" s="236"/>
      <c r="F92" s="220"/>
      <c r="G92" s="220"/>
      <c r="H92" s="221"/>
    </row>
    <row r="93" spans="1:8" ht="15">
      <c r="A93" s="216">
        <f>A91+1</f>
        <v>48</v>
      </c>
      <c r="B93" s="217"/>
      <c r="C93" s="218" t="s">
        <v>1271</v>
      </c>
      <c r="D93" s="217" t="s">
        <v>306</v>
      </c>
      <c r="E93" s="236">
        <v>1</v>
      </c>
      <c r="F93" s="232">
        <v>0</v>
      </c>
      <c r="G93" s="220">
        <v>0</v>
      </c>
      <c r="H93" s="221">
        <f t="shared" si="11"/>
        <v>0</v>
      </c>
    </row>
    <row r="94" spans="1:8" ht="15">
      <c r="A94" s="216"/>
      <c r="B94" s="217"/>
      <c r="C94" s="229" t="s">
        <v>1270</v>
      </c>
      <c r="D94" s="217"/>
      <c r="E94" s="236"/>
      <c r="F94" s="220"/>
      <c r="G94" s="220"/>
      <c r="H94" s="221"/>
    </row>
    <row r="95" spans="1:8" ht="15">
      <c r="A95" s="216">
        <f>A93+1</f>
        <v>49</v>
      </c>
      <c r="B95" s="217"/>
      <c r="C95" s="218" t="s">
        <v>1272</v>
      </c>
      <c r="D95" s="217" t="s">
        <v>306</v>
      </c>
      <c r="E95" s="236">
        <v>2</v>
      </c>
      <c r="F95" s="232">
        <v>0</v>
      </c>
      <c r="G95" s="220">
        <v>0</v>
      </c>
      <c r="H95" s="221">
        <f t="shared" si="11"/>
        <v>0</v>
      </c>
    </row>
    <row r="96" spans="1:8" ht="15">
      <c r="A96" s="216">
        <f>A95+1</f>
        <v>50</v>
      </c>
      <c r="B96" s="217"/>
      <c r="C96" s="218" t="s">
        <v>1273</v>
      </c>
      <c r="D96" s="217" t="s">
        <v>306</v>
      </c>
      <c r="E96" s="236">
        <v>8</v>
      </c>
      <c r="F96" s="232">
        <v>0</v>
      </c>
      <c r="G96" s="220">
        <v>0</v>
      </c>
      <c r="H96" s="221">
        <f t="shared" si="11"/>
        <v>0</v>
      </c>
    </row>
    <row r="97" spans="1:8" ht="15">
      <c r="A97" s="216">
        <f aca="true" t="shared" si="12" ref="A97:A98">A96+1</f>
        <v>51</v>
      </c>
      <c r="B97" s="217"/>
      <c r="C97" s="218" t="s">
        <v>1274</v>
      </c>
      <c r="D97" s="217" t="s">
        <v>306</v>
      </c>
      <c r="E97" s="236">
        <v>11</v>
      </c>
      <c r="F97" s="232">
        <v>0</v>
      </c>
      <c r="G97" s="220">
        <v>0</v>
      </c>
      <c r="H97" s="221">
        <f t="shared" si="11"/>
        <v>0</v>
      </c>
    </row>
    <row r="98" spans="1:8" ht="27" customHeight="1">
      <c r="A98" s="216">
        <f t="shared" si="12"/>
        <v>52</v>
      </c>
      <c r="B98" s="217"/>
      <c r="C98" s="218" t="s">
        <v>1275</v>
      </c>
      <c r="D98" s="217" t="s">
        <v>306</v>
      </c>
      <c r="E98" s="236">
        <v>5</v>
      </c>
      <c r="F98" s="232">
        <v>0</v>
      </c>
      <c r="G98" s="220">
        <v>0</v>
      </c>
      <c r="H98" s="221">
        <f t="shared" si="11"/>
        <v>0</v>
      </c>
    </row>
    <row r="99" spans="1:8" ht="15">
      <c r="A99" s="216"/>
      <c r="B99" s="217"/>
      <c r="C99" s="229" t="s">
        <v>1260</v>
      </c>
      <c r="D99" s="217"/>
      <c r="E99" s="236"/>
      <c r="F99" s="220"/>
      <c r="G99" s="220"/>
      <c r="H99" s="221"/>
    </row>
    <row r="100" spans="1:8" ht="15">
      <c r="A100" s="216">
        <f>A98+1</f>
        <v>53</v>
      </c>
      <c r="B100" s="217"/>
      <c r="C100" s="218" t="s">
        <v>1276</v>
      </c>
      <c r="D100" s="231" t="s">
        <v>1252</v>
      </c>
      <c r="E100" s="219">
        <v>15</v>
      </c>
      <c r="F100" s="232">
        <v>0</v>
      </c>
      <c r="G100" s="220">
        <v>0</v>
      </c>
      <c r="H100" s="221">
        <f t="shared" si="11"/>
        <v>0</v>
      </c>
    </row>
    <row r="101" spans="1:8" ht="15">
      <c r="A101" s="216"/>
      <c r="B101" s="217"/>
      <c r="C101" s="229" t="s">
        <v>1277</v>
      </c>
      <c r="D101" s="231"/>
      <c r="E101" s="219"/>
      <c r="F101" s="220"/>
      <c r="G101" s="220"/>
      <c r="H101" s="221"/>
    </row>
    <row r="102" spans="1:8" ht="15">
      <c r="A102" s="216"/>
      <c r="B102" s="217"/>
      <c r="C102" s="229" t="s">
        <v>1278</v>
      </c>
      <c r="D102" s="231"/>
      <c r="E102" s="219"/>
      <c r="F102" s="220"/>
      <c r="G102" s="220"/>
      <c r="H102" s="221"/>
    </row>
    <row r="103" spans="1:8" ht="15">
      <c r="A103" s="216">
        <f>A100+1</f>
        <v>54</v>
      </c>
      <c r="B103" s="217"/>
      <c r="C103" s="218" t="s">
        <v>1279</v>
      </c>
      <c r="D103" s="231" t="s">
        <v>1252</v>
      </c>
      <c r="E103" s="219">
        <v>75</v>
      </c>
      <c r="F103" s="232">
        <v>0</v>
      </c>
      <c r="G103" s="220">
        <v>0</v>
      </c>
      <c r="H103" s="221">
        <f t="shared" si="11"/>
        <v>0</v>
      </c>
    </row>
    <row r="104" spans="1:8" ht="15">
      <c r="A104" s="223"/>
      <c r="B104" s="224"/>
      <c r="C104" s="229" t="s">
        <v>1277</v>
      </c>
      <c r="D104" s="231"/>
      <c r="E104" s="219"/>
      <c r="F104" s="220"/>
      <c r="G104" s="220"/>
      <c r="H104" s="221"/>
    </row>
    <row r="105" spans="1:8" ht="15">
      <c r="A105" s="223"/>
      <c r="B105" s="224"/>
      <c r="C105" s="229" t="s">
        <v>1278</v>
      </c>
      <c r="D105" s="231"/>
      <c r="E105" s="219"/>
      <c r="F105" s="220"/>
      <c r="G105" s="220"/>
      <c r="H105" s="221"/>
    </row>
    <row r="106" spans="1:8" ht="15">
      <c r="A106" s="223"/>
      <c r="B106" s="224"/>
      <c r="C106" s="218" t="s">
        <v>1280</v>
      </c>
      <c r="D106" s="231" t="s">
        <v>306</v>
      </c>
      <c r="E106" s="219">
        <v>1</v>
      </c>
      <c r="F106" s="232">
        <v>0</v>
      </c>
      <c r="G106" s="220">
        <v>0</v>
      </c>
      <c r="H106" s="221">
        <f t="shared" si="11"/>
        <v>0</v>
      </c>
    </row>
    <row r="107" spans="1:8" ht="15">
      <c r="A107" s="223"/>
      <c r="B107" s="224"/>
      <c r="C107" s="218" t="s">
        <v>1281</v>
      </c>
      <c r="D107" s="231" t="s">
        <v>306</v>
      </c>
      <c r="E107" s="219">
        <v>1</v>
      </c>
      <c r="F107" s="232">
        <v>0</v>
      </c>
      <c r="G107" s="220">
        <v>0</v>
      </c>
      <c r="H107" s="221">
        <f t="shared" si="11"/>
        <v>0</v>
      </c>
    </row>
    <row r="108" spans="1:8" ht="15">
      <c r="A108" s="223"/>
      <c r="B108" s="224"/>
      <c r="C108" s="218" t="s">
        <v>1282</v>
      </c>
      <c r="D108" s="231" t="s">
        <v>306</v>
      </c>
      <c r="E108" s="219">
        <v>2</v>
      </c>
      <c r="F108" s="232">
        <v>0</v>
      </c>
      <c r="G108" s="220">
        <v>0</v>
      </c>
      <c r="H108" s="221">
        <f t="shared" si="11"/>
        <v>0</v>
      </c>
    </row>
    <row r="109" spans="1:8" ht="22.8">
      <c r="A109" s="223"/>
      <c r="B109" s="224"/>
      <c r="C109" s="218" t="s">
        <v>1283</v>
      </c>
      <c r="D109" s="231" t="s">
        <v>306</v>
      </c>
      <c r="E109" s="219">
        <v>1</v>
      </c>
      <c r="F109" s="232">
        <v>0</v>
      </c>
      <c r="G109" s="220">
        <v>0</v>
      </c>
      <c r="H109" s="221">
        <f t="shared" si="11"/>
        <v>0</v>
      </c>
    </row>
    <row r="110" spans="1:8" ht="15">
      <c r="A110" s="216">
        <f>A103+1</f>
        <v>55</v>
      </c>
      <c r="B110" s="217"/>
      <c r="C110" s="218" t="s">
        <v>1284</v>
      </c>
      <c r="D110" s="231" t="s">
        <v>306</v>
      </c>
      <c r="E110" s="219">
        <v>10</v>
      </c>
      <c r="F110" s="232">
        <v>0</v>
      </c>
      <c r="G110" s="220">
        <v>0</v>
      </c>
      <c r="H110" s="221">
        <f t="shared" si="11"/>
        <v>0</v>
      </c>
    </row>
    <row r="111" spans="1:8" ht="15">
      <c r="A111" s="223"/>
      <c r="B111" s="224"/>
      <c r="C111" s="225"/>
      <c r="D111" s="224"/>
      <c r="E111" s="237"/>
      <c r="F111" s="234"/>
      <c r="G111" s="234"/>
      <c r="H111" s="235">
        <f>SUM(H91:H110)</f>
        <v>0</v>
      </c>
    </row>
    <row r="112" spans="1:8" ht="15">
      <c r="A112" s="208"/>
      <c r="B112" s="209"/>
      <c r="C112" s="210" t="s">
        <v>1285</v>
      </c>
      <c r="D112" s="211"/>
      <c r="E112" s="212"/>
      <c r="F112" s="213"/>
      <c r="G112" s="213"/>
      <c r="H112" s="230"/>
    </row>
    <row r="113" spans="1:8" ht="25.5" customHeight="1">
      <c r="A113" s="216">
        <f>A110+1</f>
        <v>56</v>
      </c>
      <c r="B113" s="217"/>
      <c r="C113" s="218" t="s">
        <v>1286</v>
      </c>
      <c r="D113" s="217" t="s">
        <v>306</v>
      </c>
      <c r="E113" s="219">
        <v>35</v>
      </c>
      <c r="F113" s="232">
        <v>0</v>
      </c>
      <c r="G113" s="220">
        <v>0</v>
      </c>
      <c r="H113" s="221">
        <f aca="true" t="shared" si="13" ref="H113:H125">F113*E113+G113*E113</f>
        <v>0</v>
      </c>
    </row>
    <row r="114" spans="1:8" ht="15">
      <c r="A114" s="223"/>
      <c r="B114" s="224"/>
      <c r="C114" s="229" t="s">
        <v>1287</v>
      </c>
      <c r="D114" s="231"/>
      <c r="E114" s="219"/>
      <c r="F114" s="220"/>
      <c r="G114" s="220"/>
      <c r="H114" s="221"/>
    </row>
    <row r="115" spans="1:8" ht="27" customHeight="1">
      <c r="A115" s="216">
        <f>A113+1</f>
        <v>57</v>
      </c>
      <c r="B115" s="217"/>
      <c r="C115" s="218" t="s">
        <v>1288</v>
      </c>
      <c r="D115" s="217" t="s">
        <v>306</v>
      </c>
      <c r="E115" s="219">
        <v>26</v>
      </c>
      <c r="F115" s="232">
        <v>0</v>
      </c>
      <c r="G115" s="220">
        <v>0</v>
      </c>
      <c r="H115" s="221">
        <f t="shared" si="13"/>
        <v>0</v>
      </c>
    </row>
    <row r="116" spans="1:8" ht="15">
      <c r="A116" s="223"/>
      <c r="B116" s="224"/>
      <c r="C116" s="229" t="s">
        <v>1287</v>
      </c>
      <c r="D116" s="231"/>
      <c r="E116" s="219"/>
      <c r="F116" s="220"/>
      <c r="G116" s="220"/>
      <c r="H116" s="221"/>
    </row>
    <row r="117" spans="1:8" ht="15">
      <c r="A117" s="216">
        <f>A115+1</f>
        <v>58</v>
      </c>
      <c r="B117" s="217"/>
      <c r="C117" s="218" t="s">
        <v>1289</v>
      </c>
      <c r="D117" s="217" t="s">
        <v>306</v>
      </c>
      <c r="E117" s="219">
        <v>14</v>
      </c>
      <c r="F117" s="232">
        <v>0</v>
      </c>
      <c r="G117" s="220">
        <v>0</v>
      </c>
      <c r="H117" s="221">
        <f t="shared" si="13"/>
        <v>0</v>
      </c>
    </row>
    <row r="118" spans="1:8" ht="15">
      <c r="A118" s="216">
        <f aca="true" t="shared" si="14" ref="A118:A125">A117+1</f>
        <v>59</v>
      </c>
      <c r="B118" s="217"/>
      <c r="C118" s="218" t="s">
        <v>1290</v>
      </c>
      <c r="D118" s="217" t="s">
        <v>306</v>
      </c>
      <c r="E118" s="219">
        <v>12</v>
      </c>
      <c r="F118" s="232">
        <v>0</v>
      </c>
      <c r="G118" s="220">
        <v>0</v>
      </c>
      <c r="H118" s="221">
        <f t="shared" si="13"/>
        <v>0</v>
      </c>
    </row>
    <row r="119" spans="1:8" ht="15">
      <c r="A119" s="216">
        <f t="shared" si="14"/>
        <v>60</v>
      </c>
      <c r="B119" s="217"/>
      <c r="C119" s="218" t="s">
        <v>1291</v>
      </c>
      <c r="D119" s="217" t="s">
        <v>306</v>
      </c>
      <c r="E119" s="219">
        <v>12</v>
      </c>
      <c r="F119" s="232">
        <v>0</v>
      </c>
      <c r="G119" s="220">
        <v>0</v>
      </c>
      <c r="H119" s="221">
        <f t="shared" si="13"/>
        <v>0</v>
      </c>
    </row>
    <row r="120" spans="1:8" ht="15">
      <c r="A120" s="216">
        <f t="shared" si="14"/>
        <v>61</v>
      </c>
      <c r="B120" s="217"/>
      <c r="C120" s="218" t="s">
        <v>1292</v>
      </c>
      <c r="D120" s="217" t="s">
        <v>306</v>
      </c>
      <c r="E120" s="219">
        <v>150</v>
      </c>
      <c r="F120" s="232">
        <v>0</v>
      </c>
      <c r="G120" s="220">
        <v>0</v>
      </c>
      <c r="H120" s="221">
        <f t="shared" si="13"/>
        <v>0</v>
      </c>
    </row>
    <row r="121" spans="1:8" ht="15">
      <c r="A121" s="216">
        <f t="shared" si="14"/>
        <v>62</v>
      </c>
      <c r="B121" s="217"/>
      <c r="C121" s="218" t="s">
        <v>1293</v>
      </c>
      <c r="D121" s="217" t="s">
        <v>306</v>
      </c>
      <c r="E121" s="219">
        <v>49</v>
      </c>
      <c r="F121" s="232">
        <v>0</v>
      </c>
      <c r="G121" s="220">
        <v>0</v>
      </c>
      <c r="H121" s="221">
        <f t="shared" si="13"/>
        <v>0</v>
      </c>
    </row>
    <row r="122" spans="1:8" ht="15">
      <c r="A122" s="216">
        <f t="shared" si="14"/>
        <v>63</v>
      </c>
      <c r="B122" s="217"/>
      <c r="C122" s="218" t="s">
        <v>1294</v>
      </c>
      <c r="D122" s="217" t="s">
        <v>306</v>
      </c>
      <c r="E122" s="219">
        <v>15</v>
      </c>
      <c r="F122" s="232">
        <v>0</v>
      </c>
      <c r="G122" s="220">
        <v>0</v>
      </c>
      <c r="H122" s="221">
        <f t="shared" si="13"/>
        <v>0</v>
      </c>
    </row>
    <row r="123" spans="1:8" ht="15">
      <c r="A123" s="216">
        <f t="shared" si="14"/>
        <v>64</v>
      </c>
      <c r="B123" s="217"/>
      <c r="C123" s="218" t="s">
        <v>1295</v>
      </c>
      <c r="D123" s="217" t="s">
        <v>306</v>
      </c>
      <c r="E123" s="219">
        <v>10</v>
      </c>
      <c r="F123" s="232">
        <v>0</v>
      </c>
      <c r="G123" s="220">
        <v>0</v>
      </c>
      <c r="H123" s="221">
        <f t="shared" si="13"/>
        <v>0</v>
      </c>
    </row>
    <row r="124" spans="1:8" ht="15">
      <c r="A124" s="216">
        <f t="shared" si="14"/>
        <v>65</v>
      </c>
      <c r="B124" s="217"/>
      <c r="C124" s="218" t="s">
        <v>1296</v>
      </c>
      <c r="D124" s="217" t="s">
        <v>306</v>
      </c>
      <c r="E124" s="219">
        <v>14</v>
      </c>
      <c r="F124" s="232">
        <v>0</v>
      </c>
      <c r="G124" s="220">
        <v>0</v>
      </c>
      <c r="H124" s="221">
        <f t="shared" si="13"/>
        <v>0</v>
      </c>
    </row>
    <row r="125" spans="1:8" ht="15">
      <c r="A125" s="216">
        <f t="shared" si="14"/>
        <v>66</v>
      </c>
      <c r="B125" s="217"/>
      <c r="C125" s="218" t="s">
        <v>1297</v>
      </c>
      <c r="D125" s="217" t="s">
        <v>306</v>
      </c>
      <c r="E125" s="219">
        <v>52</v>
      </c>
      <c r="F125" s="232">
        <v>0</v>
      </c>
      <c r="G125" s="220">
        <v>0</v>
      </c>
      <c r="H125" s="221">
        <f t="shared" si="13"/>
        <v>0</v>
      </c>
    </row>
    <row r="126" spans="1:8" ht="15">
      <c r="A126" s="223"/>
      <c r="B126" s="224"/>
      <c r="C126" s="225"/>
      <c r="D126" s="224"/>
      <c r="E126" s="226"/>
      <c r="F126" s="234"/>
      <c r="G126" s="234"/>
      <c r="H126" s="235">
        <f>SUM(H113:H125)</f>
        <v>0</v>
      </c>
    </row>
    <row r="127" spans="1:8" ht="15">
      <c r="A127" s="208"/>
      <c r="B127" s="209"/>
      <c r="C127" s="210" t="s">
        <v>1298</v>
      </c>
      <c r="D127" s="211"/>
      <c r="E127" s="212"/>
      <c r="F127" s="213"/>
      <c r="G127" s="213"/>
      <c r="H127" s="230"/>
    </row>
    <row r="128" spans="1:8" ht="30" customHeight="1">
      <c r="A128" s="216">
        <f>A125+1</f>
        <v>67</v>
      </c>
      <c r="B128" s="217"/>
      <c r="C128" s="218" t="s">
        <v>1299</v>
      </c>
      <c r="D128" s="217" t="s">
        <v>306</v>
      </c>
      <c r="E128" s="219">
        <v>351</v>
      </c>
      <c r="F128" s="232">
        <v>0</v>
      </c>
      <c r="G128" s="220">
        <v>0</v>
      </c>
      <c r="H128" s="221">
        <f aca="true" t="shared" si="15" ref="H128:H184">F128*E128+G128*E128</f>
        <v>0</v>
      </c>
    </row>
    <row r="129" spans="1:8" ht="15">
      <c r="A129" s="216"/>
      <c r="B129" s="217"/>
      <c r="C129" s="229" t="s">
        <v>1300</v>
      </c>
      <c r="D129" s="217"/>
      <c r="E129" s="219"/>
      <c r="F129" s="232"/>
      <c r="G129" s="220"/>
      <c r="H129" s="221"/>
    </row>
    <row r="130" spans="1:8" ht="15">
      <c r="A130" s="216">
        <f>A128+1</f>
        <v>68</v>
      </c>
      <c r="B130" s="217"/>
      <c r="C130" s="218" t="s">
        <v>1301</v>
      </c>
      <c r="D130" s="217" t="s">
        <v>306</v>
      </c>
      <c r="E130" s="219">
        <v>202</v>
      </c>
      <c r="F130" s="232">
        <v>0</v>
      </c>
      <c r="G130" s="220">
        <v>0</v>
      </c>
      <c r="H130" s="221">
        <f t="shared" si="15"/>
        <v>0</v>
      </c>
    </row>
    <row r="131" spans="1:8" ht="15">
      <c r="A131" s="216">
        <f aca="true" t="shared" si="16" ref="A131:A159">A130+1</f>
        <v>69</v>
      </c>
      <c r="B131" s="217"/>
      <c r="C131" s="218" t="s">
        <v>1302</v>
      </c>
      <c r="D131" s="217" t="s">
        <v>306</v>
      </c>
      <c r="E131" s="219">
        <v>58</v>
      </c>
      <c r="F131" s="232">
        <v>0</v>
      </c>
      <c r="G131" s="220">
        <v>0</v>
      </c>
      <c r="H131" s="221">
        <f t="shared" si="15"/>
        <v>0</v>
      </c>
    </row>
    <row r="132" spans="1:8" ht="15">
      <c r="A132" s="216">
        <f t="shared" si="16"/>
        <v>70</v>
      </c>
      <c r="B132" s="217"/>
      <c r="C132" s="218" t="s">
        <v>1303</v>
      </c>
      <c r="D132" s="217" t="s">
        <v>306</v>
      </c>
      <c r="E132" s="219">
        <v>8</v>
      </c>
      <c r="F132" s="232">
        <v>0</v>
      </c>
      <c r="G132" s="220">
        <v>0</v>
      </c>
      <c r="H132" s="221">
        <f t="shared" si="15"/>
        <v>0</v>
      </c>
    </row>
    <row r="133" spans="1:8" ht="15">
      <c r="A133" s="216">
        <f t="shared" si="16"/>
        <v>71</v>
      </c>
      <c r="B133" s="217"/>
      <c r="C133" s="218" t="s">
        <v>1304</v>
      </c>
      <c r="D133" s="217" t="s">
        <v>306</v>
      </c>
      <c r="E133" s="219">
        <v>4</v>
      </c>
      <c r="F133" s="232">
        <v>0</v>
      </c>
      <c r="G133" s="220">
        <v>0</v>
      </c>
      <c r="H133" s="221">
        <f t="shared" si="15"/>
        <v>0</v>
      </c>
    </row>
    <row r="134" spans="1:8" ht="15">
      <c r="A134" s="216">
        <f t="shared" si="16"/>
        <v>72</v>
      </c>
      <c r="B134" s="217"/>
      <c r="C134" s="218" t="s">
        <v>1305</v>
      </c>
      <c r="D134" s="217" t="s">
        <v>306</v>
      </c>
      <c r="E134" s="219">
        <v>14</v>
      </c>
      <c r="F134" s="232">
        <v>0</v>
      </c>
      <c r="G134" s="220">
        <v>0</v>
      </c>
      <c r="H134" s="221">
        <f t="shared" si="15"/>
        <v>0</v>
      </c>
    </row>
    <row r="135" spans="1:8" ht="15">
      <c r="A135" s="216">
        <f t="shared" si="16"/>
        <v>73</v>
      </c>
      <c r="B135" s="217"/>
      <c r="C135" s="218" t="s">
        <v>1306</v>
      </c>
      <c r="D135" s="217" t="s">
        <v>306</v>
      </c>
      <c r="E135" s="219">
        <v>6.000000000000001</v>
      </c>
      <c r="F135" s="232">
        <v>0</v>
      </c>
      <c r="G135" s="220">
        <v>0</v>
      </c>
      <c r="H135" s="221">
        <f t="shared" si="15"/>
        <v>0</v>
      </c>
    </row>
    <row r="136" spans="1:8" ht="15">
      <c r="A136" s="216">
        <f t="shared" si="16"/>
        <v>74</v>
      </c>
      <c r="B136" s="217"/>
      <c r="C136" s="218" t="s">
        <v>1307</v>
      </c>
      <c r="D136" s="217" t="s">
        <v>306</v>
      </c>
      <c r="E136" s="219">
        <v>10</v>
      </c>
      <c r="F136" s="232">
        <v>0</v>
      </c>
      <c r="G136" s="220">
        <v>0</v>
      </c>
      <c r="H136" s="221">
        <f t="shared" si="15"/>
        <v>0</v>
      </c>
    </row>
    <row r="137" spans="1:8" ht="15">
      <c r="A137" s="216">
        <f t="shared" si="16"/>
        <v>75</v>
      </c>
      <c r="B137" s="217"/>
      <c r="C137" s="218" t="s">
        <v>1308</v>
      </c>
      <c r="D137" s="217" t="s">
        <v>306</v>
      </c>
      <c r="E137" s="219">
        <v>16</v>
      </c>
      <c r="F137" s="232">
        <v>0</v>
      </c>
      <c r="G137" s="220">
        <v>0</v>
      </c>
      <c r="H137" s="221">
        <f t="shared" si="15"/>
        <v>0</v>
      </c>
    </row>
    <row r="138" spans="1:8" ht="15">
      <c r="A138" s="216">
        <f t="shared" si="16"/>
        <v>76</v>
      </c>
      <c r="B138" s="217"/>
      <c r="C138" s="218" t="s">
        <v>1309</v>
      </c>
      <c r="D138" s="217" t="s">
        <v>306</v>
      </c>
      <c r="E138" s="219">
        <v>10</v>
      </c>
      <c r="F138" s="232">
        <v>0</v>
      </c>
      <c r="G138" s="220">
        <v>0</v>
      </c>
      <c r="H138" s="221">
        <f t="shared" si="15"/>
        <v>0</v>
      </c>
    </row>
    <row r="139" spans="1:8" ht="15">
      <c r="A139" s="216">
        <f t="shared" si="16"/>
        <v>77</v>
      </c>
      <c r="B139" s="217"/>
      <c r="C139" s="218" t="s">
        <v>1310</v>
      </c>
      <c r="D139" s="217" t="s">
        <v>306</v>
      </c>
      <c r="E139" s="219">
        <v>23</v>
      </c>
      <c r="F139" s="232">
        <v>0</v>
      </c>
      <c r="G139" s="220">
        <v>0</v>
      </c>
      <c r="H139" s="221">
        <f t="shared" si="15"/>
        <v>0</v>
      </c>
    </row>
    <row r="140" spans="1:8" ht="22.8">
      <c r="A140" s="216">
        <f t="shared" si="16"/>
        <v>78</v>
      </c>
      <c r="B140" s="217"/>
      <c r="C140" s="218" t="s">
        <v>1311</v>
      </c>
      <c r="D140" s="217" t="s">
        <v>306</v>
      </c>
      <c r="E140" s="219">
        <v>72</v>
      </c>
      <c r="F140" s="232">
        <v>0</v>
      </c>
      <c r="G140" s="220">
        <v>0</v>
      </c>
      <c r="H140" s="221">
        <f t="shared" si="15"/>
        <v>0</v>
      </c>
    </row>
    <row r="141" spans="1:8" ht="15">
      <c r="A141" s="216"/>
      <c r="B141" s="217"/>
      <c r="C141" s="229" t="s">
        <v>1300</v>
      </c>
      <c r="D141" s="217"/>
      <c r="E141" s="219"/>
      <c r="F141" s="232"/>
      <c r="G141" s="220"/>
      <c r="H141" s="221"/>
    </row>
    <row r="142" spans="1:8" ht="15">
      <c r="A142" s="216">
        <f>A140+1</f>
        <v>79</v>
      </c>
      <c r="B142" s="217"/>
      <c r="C142" s="218" t="s">
        <v>1312</v>
      </c>
      <c r="D142" s="217" t="s">
        <v>306</v>
      </c>
      <c r="E142" s="219">
        <v>495</v>
      </c>
      <c r="F142" s="232">
        <v>0</v>
      </c>
      <c r="G142" s="220">
        <v>0</v>
      </c>
      <c r="H142" s="221">
        <f t="shared" si="15"/>
        <v>0</v>
      </c>
    </row>
    <row r="143" spans="1:8" ht="15">
      <c r="A143" s="216">
        <f t="shared" si="16"/>
        <v>80</v>
      </c>
      <c r="B143" s="217"/>
      <c r="C143" s="218" t="s">
        <v>1313</v>
      </c>
      <c r="D143" s="217" t="s">
        <v>306</v>
      </c>
      <c r="E143" s="219">
        <v>351</v>
      </c>
      <c r="F143" s="232">
        <v>0</v>
      </c>
      <c r="G143" s="220">
        <v>0</v>
      </c>
      <c r="H143" s="221">
        <f t="shared" si="15"/>
        <v>0</v>
      </c>
    </row>
    <row r="144" spans="1:8" ht="15">
      <c r="A144" s="216">
        <f t="shared" si="16"/>
        <v>81</v>
      </c>
      <c r="B144" s="217"/>
      <c r="C144" s="218" t="s">
        <v>1314</v>
      </c>
      <c r="D144" s="217" t="s">
        <v>306</v>
      </c>
      <c r="E144" s="219">
        <v>9</v>
      </c>
      <c r="F144" s="232">
        <v>0</v>
      </c>
      <c r="G144" s="220">
        <v>0</v>
      </c>
      <c r="H144" s="221">
        <f t="shared" si="15"/>
        <v>0</v>
      </c>
    </row>
    <row r="145" spans="1:8" ht="15">
      <c r="A145" s="216"/>
      <c r="B145" s="217"/>
      <c r="C145" s="229" t="s">
        <v>1315</v>
      </c>
      <c r="D145" s="217"/>
      <c r="E145" s="219"/>
      <c r="F145" s="232"/>
      <c r="G145" s="220"/>
      <c r="H145" s="221"/>
    </row>
    <row r="146" spans="1:8" ht="15">
      <c r="A146" s="216">
        <f>A144+1</f>
        <v>82</v>
      </c>
      <c r="B146" s="217"/>
      <c r="C146" s="218" t="s">
        <v>1316</v>
      </c>
      <c r="D146" s="217" t="s">
        <v>306</v>
      </c>
      <c r="E146" s="219">
        <v>80</v>
      </c>
      <c r="F146" s="232">
        <v>0</v>
      </c>
      <c r="G146" s="220">
        <v>0</v>
      </c>
      <c r="H146" s="221">
        <f t="shared" si="15"/>
        <v>0</v>
      </c>
    </row>
    <row r="147" spans="1:8" ht="15">
      <c r="A147" s="216">
        <f t="shared" si="16"/>
        <v>83</v>
      </c>
      <c r="B147" s="217"/>
      <c r="C147" s="218" t="s">
        <v>1317</v>
      </c>
      <c r="D147" s="217" t="s">
        <v>306</v>
      </c>
      <c r="E147" s="219">
        <v>400</v>
      </c>
      <c r="F147" s="232">
        <v>0</v>
      </c>
      <c r="G147" s="220">
        <v>0</v>
      </c>
      <c r="H147" s="221">
        <f t="shared" si="15"/>
        <v>0</v>
      </c>
    </row>
    <row r="148" spans="1:8" ht="22.8">
      <c r="A148" s="216">
        <f t="shared" si="16"/>
        <v>84</v>
      </c>
      <c r="B148" s="217"/>
      <c r="C148" s="218" t="s">
        <v>1318</v>
      </c>
      <c r="D148" s="217" t="s">
        <v>306</v>
      </c>
      <c r="E148" s="219">
        <v>25</v>
      </c>
      <c r="F148" s="232">
        <v>0</v>
      </c>
      <c r="G148" s="220">
        <v>0</v>
      </c>
      <c r="H148" s="221">
        <f t="shared" si="15"/>
        <v>0</v>
      </c>
    </row>
    <row r="149" spans="1:8" ht="15">
      <c r="A149" s="216"/>
      <c r="B149" s="217"/>
      <c r="C149" s="229" t="s">
        <v>1300</v>
      </c>
      <c r="D149" s="217"/>
      <c r="E149" s="219"/>
      <c r="F149" s="232"/>
      <c r="G149" s="220"/>
      <c r="H149" s="221"/>
    </row>
    <row r="150" spans="1:8" ht="26.25" customHeight="1">
      <c r="A150" s="216">
        <f>A148+1</f>
        <v>85</v>
      </c>
      <c r="B150" s="217"/>
      <c r="C150" s="218" t="s">
        <v>1319</v>
      </c>
      <c r="D150" s="217" t="s">
        <v>306</v>
      </c>
      <c r="E150" s="219">
        <v>25</v>
      </c>
      <c r="F150" s="232">
        <v>0</v>
      </c>
      <c r="G150" s="220">
        <v>0</v>
      </c>
      <c r="H150" s="221">
        <f t="shared" si="15"/>
        <v>0</v>
      </c>
    </row>
    <row r="151" spans="1:8" ht="15">
      <c r="A151" s="216"/>
      <c r="B151" s="217"/>
      <c r="C151" s="229" t="s">
        <v>1300</v>
      </c>
      <c r="D151" s="217"/>
      <c r="E151" s="219"/>
      <c r="F151" s="232"/>
      <c r="G151" s="220"/>
      <c r="H151" s="221"/>
    </row>
    <row r="152" spans="1:8" ht="15">
      <c r="A152" s="216">
        <f>A150+1</f>
        <v>86</v>
      </c>
      <c r="B152" s="217"/>
      <c r="C152" s="218" t="s">
        <v>1320</v>
      </c>
      <c r="D152" s="217" t="s">
        <v>306</v>
      </c>
      <c r="E152" s="219">
        <v>150</v>
      </c>
      <c r="F152" s="232">
        <v>0</v>
      </c>
      <c r="G152" s="220">
        <v>0</v>
      </c>
      <c r="H152" s="221">
        <f t="shared" si="15"/>
        <v>0</v>
      </c>
    </row>
    <row r="153" spans="1:8" ht="15">
      <c r="A153" s="216">
        <f t="shared" si="16"/>
        <v>87</v>
      </c>
      <c r="B153" s="217"/>
      <c r="C153" s="218" t="s">
        <v>1321</v>
      </c>
      <c r="D153" s="217" t="s">
        <v>306</v>
      </c>
      <c r="E153" s="219">
        <v>1200</v>
      </c>
      <c r="F153" s="232">
        <v>0</v>
      </c>
      <c r="G153" s="220">
        <v>0</v>
      </c>
      <c r="H153" s="221">
        <f t="shared" si="15"/>
        <v>0</v>
      </c>
    </row>
    <row r="154" spans="1:8" ht="15">
      <c r="A154" s="216"/>
      <c r="B154" s="217"/>
      <c r="C154" s="229" t="s">
        <v>1300</v>
      </c>
      <c r="D154" s="217"/>
      <c r="E154" s="219"/>
      <c r="F154" s="232"/>
      <c r="G154" s="220"/>
      <c r="H154" s="221"/>
    </row>
    <row r="155" spans="1:8" ht="15">
      <c r="A155" s="216">
        <f>A153+1</f>
        <v>88</v>
      </c>
      <c r="B155" s="217"/>
      <c r="C155" s="218" t="s">
        <v>1322</v>
      </c>
      <c r="D155" s="217" t="s">
        <v>306</v>
      </c>
      <c r="E155" s="219">
        <v>3000</v>
      </c>
      <c r="F155" s="232">
        <v>0</v>
      </c>
      <c r="G155" s="220">
        <v>0</v>
      </c>
      <c r="H155" s="221">
        <f t="shared" si="15"/>
        <v>0</v>
      </c>
    </row>
    <row r="156" spans="1:8" ht="15">
      <c r="A156" s="216">
        <f t="shared" si="16"/>
        <v>89</v>
      </c>
      <c r="B156" s="217"/>
      <c r="C156" s="218" t="s">
        <v>1323</v>
      </c>
      <c r="D156" s="217" t="s">
        <v>306</v>
      </c>
      <c r="E156" s="219">
        <v>20</v>
      </c>
      <c r="F156" s="232">
        <v>0</v>
      </c>
      <c r="G156" s="220">
        <v>0</v>
      </c>
      <c r="H156" s="221">
        <f t="shared" si="15"/>
        <v>0</v>
      </c>
    </row>
    <row r="157" spans="1:8" ht="15">
      <c r="A157" s="216"/>
      <c r="B157" s="217"/>
      <c r="C157" s="229" t="s">
        <v>1300</v>
      </c>
      <c r="D157" s="217"/>
      <c r="E157" s="219"/>
      <c r="F157" s="232"/>
      <c r="G157" s="220"/>
      <c r="H157" s="221"/>
    </row>
    <row r="158" spans="1:8" ht="15">
      <c r="A158" s="216">
        <f>A156+1</f>
        <v>90</v>
      </c>
      <c r="B158" s="217"/>
      <c r="C158" s="218" t="s">
        <v>1324</v>
      </c>
      <c r="D158" s="217" t="s">
        <v>306</v>
      </c>
      <c r="E158" s="219">
        <v>3</v>
      </c>
      <c r="F158" s="232">
        <v>0</v>
      </c>
      <c r="G158" s="220">
        <v>0</v>
      </c>
      <c r="H158" s="221">
        <f t="shared" si="15"/>
        <v>0</v>
      </c>
    </row>
    <row r="159" spans="1:8" ht="15">
      <c r="A159" s="216">
        <f t="shared" si="16"/>
        <v>91</v>
      </c>
      <c r="B159" s="217"/>
      <c r="C159" s="218" t="s">
        <v>1325</v>
      </c>
      <c r="D159" s="217" t="s">
        <v>306</v>
      </c>
      <c r="E159" s="219">
        <v>20</v>
      </c>
      <c r="F159" s="232">
        <v>0</v>
      </c>
      <c r="G159" s="220">
        <v>0</v>
      </c>
      <c r="H159" s="221">
        <f t="shared" si="15"/>
        <v>0</v>
      </c>
    </row>
    <row r="160" spans="1:8" ht="15">
      <c r="A160" s="223"/>
      <c r="B160" s="224"/>
      <c r="C160" s="225"/>
      <c r="D160" s="224"/>
      <c r="E160" s="226"/>
      <c r="F160" s="234"/>
      <c r="G160" s="234"/>
      <c r="H160" s="235">
        <f>SUM(H128:H159)</f>
        <v>0</v>
      </c>
    </row>
    <row r="161" spans="1:8" ht="15">
      <c r="A161" s="208"/>
      <c r="B161" s="209"/>
      <c r="C161" s="210" t="s">
        <v>1326</v>
      </c>
      <c r="D161" s="211"/>
      <c r="E161" s="212"/>
      <c r="F161" s="213"/>
      <c r="G161" s="238"/>
      <c r="H161"/>
    </row>
    <row r="162" spans="1:8" ht="15">
      <c r="A162" s="216">
        <f>A159+1</f>
        <v>92</v>
      </c>
      <c r="B162" s="217"/>
      <c r="C162" s="218" t="s">
        <v>1327</v>
      </c>
      <c r="D162" s="217" t="s">
        <v>306</v>
      </c>
      <c r="E162" s="219">
        <v>1</v>
      </c>
      <c r="F162" s="232">
        <v>0</v>
      </c>
      <c r="G162" s="220">
        <v>0</v>
      </c>
      <c r="H162" s="221">
        <f aca="true" t="shared" si="17" ref="H162:H165">F162*E162+G162*E162</f>
        <v>0</v>
      </c>
    </row>
    <row r="163" spans="1:8" ht="15">
      <c r="A163" s="216"/>
      <c r="B163" s="217"/>
      <c r="C163" s="229" t="s">
        <v>1328</v>
      </c>
      <c r="D163" s="217"/>
      <c r="E163" s="219"/>
      <c r="F163" s="232"/>
      <c r="G163" s="220"/>
      <c r="H163" s="221"/>
    </row>
    <row r="164" spans="1:8" ht="15">
      <c r="A164" s="216">
        <f>A162+1</f>
        <v>93</v>
      </c>
      <c r="B164" s="217"/>
      <c r="C164" s="218" t="s">
        <v>1329</v>
      </c>
      <c r="D164" s="231" t="s">
        <v>306</v>
      </c>
      <c r="E164" s="219">
        <v>1</v>
      </c>
      <c r="F164" s="232">
        <v>0</v>
      </c>
      <c r="G164" s="220">
        <v>0</v>
      </c>
      <c r="H164" s="221">
        <f t="shared" si="17"/>
        <v>0</v>
      </c>
    </row>
    <row r="165" spans="1:8" ht="15">
      <c r="A165" s="216">
        <f aca="true" t="shared" si="18" ref="A165">A164+1</f>
        <v>94</v>
      </c>
      <c r="B165" s="217"/>
      <c r="C165" s="218" t="s">
        <v>1330</v>
      </c>
      <c r="D165" s="231" t="s">
        <v>306</v>
      </c>
      <c r="E165" s="219">
        <v>2</v>
      </c>
      <c r="F165" s="232">
        <v>0</v>
      </c>
      <c r="G165" s="220">
        <v>0</v>
      </c>
      <c r="H165" s="221">
        <f t="shared" si="17"/>
        <v>0</v>
      </c>
    </row>
    <row r="166" spans="1:8" ht="15">
      <c r="A166" s="223"/>
      <c r="B166" s="224"/>
      <c r="C166" s="225"/>
      <c r="D166" s="224"/>
      <c r="E166" s="226"/>
      <c r="F166" s="234"/>
      <c r="G166" s="234"/>
      <c r="H166" s="235">
        <f>SUM(H162:H165)</f>
        <v>0</v>
      </c>
    </row>
    <row r="167" spans="1:8" ht="15">
      <c r="A167" s="208"/>
      <c r="B167" s="209"/>
      <c r="C167" s="210" t="s">
        <v>1331</v>
      </c>
      <c r="D167" s="211"/>
      <c r="E167" s="212"/>
      <c r="F167" s="213"/>
      <c r="G167" s="213"/>
      <c r="H167"/>
    </row>
    <row r="168" spans="1:8" ht="22.8">
      <c r="A168" s="216">
        <f>A165+1</f>
        <v>95</v>
      </c>
      <c r="B168" s="217"/>
      <c r="C168" s="218" t="s">
        <v>1332</v>
      </c>
      <c r="D168" s="219" t="s">
        <v>306</v>
      </c>
      <c r="E168" s="239">
        <v>1</v>
      </c>
      <c r="F168" s="232">
        <v>0</v>
      </c>
      <c r="G168" s="220">
        <v>0</v>
      </c>
      <c r="H168" s="221">
        <f t="shared" si="15"/>
        <v>0</v>
      </c>
    </row>
    <row r="169" spans="1:8" ht="15">
      <c r="A169" s="216"/>
      <c r="B169" s="217"/>
      <c r="C169" s="229" t="s">
        <v>1333</v>
      </c>
      <c r="D169" s="219"/>
      <c r="E169" s="239"/>
      <c r="F169" s="232"/>
      <c r="G169" s="220"/>
      <c r="H169" s="221"/>
    </row>
    <row r="170" spans="1:8" ht="15">
      <c r="A170" s="216">
        <f>A168+1</f>
        <v>96</v>
      </c>
      <c r="B170" s="217"/>
      <c r="C170" s="218" t="s">
        <v>1334</v>
      </c>
      <c r="D170" s="219" t="s">
        <v>209</v>
      </c>
      <c r="E170" s="239">
        <v>30</v>
      </c>
      <c r="F170" s="232">
        <v>0</v>
      </c>
      <c r="G170" s="220"/>
      <c r="H170" s="221">
        <f t="shared" si="15"/>
        <v>0</v>
      </c>
    </row>
    <row r="171" spans="1:8" ht="15">
      <c r="A171" s="216">
        <f>A170+1</f>
        <v>97</v>
      </c>
      <c r="B171" s="217"/>
      <c r="C171" s="218" t="s">
        <v>1335</v>
      </c>
      <c r="D171" s="219" t="s">
        <v>306</v>
      </c>
      <c r="E171" s="239">
        <v>1</v>
      </c>
      <c r="F171" s="232">
        <v>0</v>
      </c>
      <c r="G171" s="220">
        <v>0</v>
      </c>
      <c r="H171" s="221">
        <f t="shared" si="15"/>
        <v>0</v>
      </c>
    </row>
    <row r="172" spans="1:8" ht="15">
      <c r="A172" s="216">
        <f>A171+1</f>
        <v>98</v>
      </c>
      <c r="B172" s="217"/>
      <c r="C172" s="218" t="s">
        <v>1336</v>
      </c>
      <c r="D172" s="219" t="s">
        <v>306</v>
      </c>
      <c r="E172" s="239">
        <v>3</v>
      </c>
      <c r="F172" s="232">
        <v>0</v>
      </c>
      <c r="G172" s="220">
        <v>0</v>
      </c>
      <c r="H172" s="221">
        <f t="shared" si="15"/>
        <v>0</v>
      </c>
    </row>
    <row r="173" spans="1:8" ht="15">
      <c r="A173" s="216">
        <f aca="true" t="shared" si="19" ref="A173:A184">A172+1</f>
        <v>99</v>
      </c>
      <c r="B173" s="217"/>
      <c r="C173" s="218" t="s">
        <v>1337</v>
      </c>
      <c r="D173" s="219" t="s">
        <v>306</v>
      </c>
      <c r="E173" s="239">
        <v>1</v>
      </c>
      <c r="F173" s="232">
        <v>0</v>
      </c>
      <c r="G173" s="220">
        <v>0</v>
      </c>
      <c r="H173" s="221">
        <f t="shared" si="15"/>
        <v>0</v>
      </c>
    </row>
    <row r="174" spans="1:8" ht="15">
      <c r="A174" s="216">
        <f t="shared" si="19"/>
        <v>100</v>
      </c>
      <c r="B174" s="217"/>
      <c r="C174" s="218" t="s">
        <v>1338</v>
      </c>
      <c r="D174" s="219" t="s">
        <v>306</v>
      </c>
      <c r="E174" s="239">
        <v>2</v>
      </c>
      <c r="F174" s="232">
        <v>0</v>
      </c>
      <c r="G174" s="220">
        <v>0</v>
      </c>
      <c r="H174" s="221">
        <f t="shared" si="15"/>
        <v>0</v>
      </c>
    </row>
    <row r="175" spans="1:8" ht="15">
      <c r="A175" s="216">
        <f t="shared" si="19"/>
        <v>101</v>
      </c>
      <c r="B175" s="217"/>
      <c r="C175" s="218" t="s">
        <v>1339</v>
      </c>
      <c r="D175" s="219" t="s">
        <v>306</v>
      </c>
      <c r="E175" s="239">
        <v>1</v>
      </c>
      <c r="F175" s="232">
        <v>0</v>
      </c>
      <c r="G175" s="220">
        <v>0</v>
      </c>
      <c r="H175" s="221">
        <f t="shared" si="15"/>
        <v>0</v>
      </c>
    </row>
    <row r="176" spans="1:8" ht="15">
      <c r="A176" s="216">
        <f t="shared" si="19"/>
        <v>102</v>
      </c>
      <c r="B176" s="217"/>
      <c r="C176" s="218" t="s">
        <v>1340</v>
      </c>
      <c r="D176" s="219" t="s">
        <v>306</v>
      </c>
      <c r="E176" s="239">
        <v>1</v>
      </c>
      <c r="F176" s="232">
        <v>0</v>
      </c>
      <c r="G176" s="220">
        <v>0</v>
      </c>
      <c r="H176" s="221">
        <f t="shared" si="15"/>
        <v>0</v>
      </c>
    </row>
    <row r="177" spans="1:8" ht="15">
      <c r="A177" s="216">
        <f t="shared" si="19"/>
        <v>103</v>
      </c>
      <c r="B177" s="217"/>
      <c r="C177" s="218" t="s">
        <v>1341</v>
      </c>
      <c r="D177" s="219" t="s">
        <v>306</v>
      </c>
      <c r="E177" s="239">
        <v>1</v>
      </c>
      <c r="F177" s="232">
        <v>0</v>
      </c>
      <c r="G177" s="220">
        <v>0</v>
      </c>
      <c r="H177" s="221">
        <f t="shared" si="15"/>
        <v>0</v>
      </c>
    </row>
    <row r="178" spans="1:8" ht="15">
      <c r="A178" s="216">
        <f t="shared" si="19"/>
        <v>104</v>
      </c>
      <c r="B178" s="217"/>
      <c r="C178" s="218" t="s">
        <v>1342</v>
      </c>
      <c r="D178" s="219" t="s">
        <v>306</v>
      </c>
      <c r="E178" s="239">
        <v>1</v>
      </c>
      <c r="F178" s="232">
        <v>0</v>
      </c>
      <c r="G178" s="220">
        <v>0</v>
      </c>
      <c r="H178" s="221">
        <f t="shared" si="15"/>
        <v>0</v>
      </c>
    </row>
    <row r="179" spans="1:8" ht="15">
      <c r="A179" s="216">
        <f t="shared" si="19"/>
        <v>105</v>
      </c>
      <c r="B179" s="217"/>
      <c r="C179" s="218" t="s">
        <v>1343</v>
      </c>
      <c r="D179" s="219" t="s">
        <v>306</v>
      </c>
      <c r="E179" s="239">
        <v>1</v>
      </c>
      <c r="F179" s="232">
        <v>0</v>
      </c>
      <c r="G179" s="220">
        <v>0</v>
      </c>
      <c r="H179" s="221">
        <f t="shared" si="15"/>
        <v>0</v>
      </c>
    </row>
    <row r="180" spans="1:8" ht="15">
      <c r="A180" s="216">
        <f t="shared" si="19"/>
        <v>106</v>
      </c>
      <c r="B180" s="217"/>
      <c r="C180" s="218" t="s">
        <v>1344</v>
      </c>
      <c r="D180" s="219" t="s">
        <v>306</v>
      </c>
      <c r="E180" s="239">
        <v>1</v>
      </c>
      <c r="F180" s="232">
        <v>0</v>
      </c>
      <c r="G180" s="220">
        <v>0</v>
      </c>
      <c r="H180" s="221">
        <f t="shared" si="15"/>
        <v>0</v>
      </c>
    </row>
    <row r="181" spans="1:8" ht="15">
      <c r="A181" s="216">
        <f t="shared" si="19"/>
        <v>107</v>
      </c>
      <c r="B181" s="217"/>
      <c r="C181" s="218" t="s">
        <v>1345</v>
      </c>
      <c r="D181" s="219" t="s">
        <v>306</v>
      </c>
      <c r="E181" s="239">
        <v>1</v>
      </c>
      <c r="F181" s="232">
        <v>0</v>
      </c>
      <c r="G181" s="220">
        <v>0</v>
      </c>
      <c r="H181" s="221">
        <f t="shared" si="15"/>
        <v>0</v>
      </c>
    </row>
    <row r="182" spans="1:8" ht="15">
      <c r="A182" s="216">
        <f t="shared" si="19"/>
        <v>108</v>
      </c>
      <c r="B182" s="217"/>
      <c r="C182" s="218" t="s">
        <v>1346</v>
      </c>
      <c r="D182" s="219" t="s">
        <v>306</v>
      </c>
      <c r="E182" s="239">
        <v>1</v>
      </c>
      <c r="F182" s="232">
        <v>0</v>
      </c>
      <c r="G182" s="220">
        <v>0</v>
      </c>
      <c r="H182" s="221">
        <f t="shared" si="15"/>
        <v>0</v>
      </c>
    </row>
    <row r="183" spans="1:8" ht="15">
      <c r="A183" s="216">
        <f t="shared" si="19"/>
        <v>109</v>
      </c>
      <c r="B183" s="217"/>
      <c r="C183" s="218" t="s">
        <v>1347</v>
      </c>
      <c r="D183" s="219" t="s">
        <v>1206</v>
      </c>
      <c r="E183" s="239">
        <v>1</v>
      </c>
      <c r="F183" s="232">
        <v>0</v>
      </c>
      <c r="G183" s="220">
        <v>0</v>
      </c>
      <c r="H183" s="221">
        <f t="shared" si="15"/>
        <v>0</v>
      </c>
    </row>
    <row r="184" spans="1:8" ht="15">
      <c r="A184" s="216">
        <f t="shared" si="19"/>
        <v>110</v>
      </c>
      <c r="B184" s="217"/>
      <c r="C184" s="218" t="s">
        <v>1348</v>
      </c>
      <c r="D184" s="219" t="s">
        <v>306</v>
      </c>
      <c r="E184" s="239">
        <v>1</v>
      </c>
      <c r="F184" s="232">
        <v>0</v>
      </c>
      <c r="G184" s="220">
        <v>0</v>
      </c>
      <c r="H184" s="221">
        <f t="shared" si="15"/>
        <v>0</v>
      </c>
    </row>
    <row r="185" spans="1:8" ht="15">
      <c r="A185" s="223"/>
      <c r="B185" s="224"/>
      <c r="C185" s="225"/>
      <c r="D185" s="224"/>
      <c r="E185" s="226"/>
      <c r="F185" s="234"/>
      <c r="G185" s="234"/>
      <c r="H185" s="235">
        <f>SUM(H168:H184)</f>
        <v>0</v>
      </c>
    </row>
    <row r="186" spans="1:8" ht="15">
      <c r="A186" s="208"/>
      <c r="B186" s="209"/>
      <c r="C186" s="210" t="s">
        <v>1349</v>
      </c>
      <c r="D186" s="211"/>
      <c r="E186" s="212"/>
      <c r="F186" s="213"/>
      <c r="G186" s="213"/>
      <c r="H186"/>
    </row>
    <row r="187" spans="1:8" ht="15">
      <c r="A187" s="216">
        <f>A184+1</f>
        <v>111</v>
      </c>
      <c r="B187" s="217"/>
      <c r="C187" s="218" t="s">
        <v>1350</v>
      </c>
      <c r="D187" s="217" t="s">
        <v>1206</v>
      </c>
      <c r="E187" s="219">
        <v>1</v>
      </c>
      <c r="F187" s="232">
        <v>0</v>
      </c>
      <c r="G187" s="220">
        <v>0</v>
      </c>
      <c r="H187" s="221">
        <f>F187*E187+G187*E187</f>
        <v>0</v>
      </c>
    </row>
    <row r="188" spans="1:8" ht="15">
      <c r="A188" s="216"/>
      <c r="B188" s="217"/>
      <c r="C188" s="229" t="s">
        <v>1351</v>
      </c>
      <c r="D188" s="217"/>
      <c r="E188" s="219"/>
      <c r="F188" s="232"/>
      <c r="G188" s="220"/>
      <c r="H188" s="221"/>
    </row>
    <row r="189" spans="1:8" ht="15">
      <c r="A189" s="216">
        <f>A187+1</f>
        <v>112</v>
      </c>
      <c r="B189" s="217"/>
      <c r="C189" s="218" t="s">
        <v>1352</v>
      </c>
      <c r="D189" s="217" t="s">
        <v>1353</v>
      </c>
      <c r="E189" s="219">
        <v>12</v>
      </c>
      <c r="F189" s="232">
        <v>0</v>
      </c>
      <c r="G189" s="220">
        <v>0</v>
      </c>
      <c r="H189" s="221">
        <f>F189*E189+G189*E189</f>
        <v>0</v>
      </c>
    </row>
    <row r="190" spans="1:8" ht="15">
      <c r="A190" s="223"/>
      <c r="B190" s="224"/>
      <c r="C190" s="225"/>
      <c r="D190" s="224"/>
      <c r="E190" s="226"/>
      <c r="F190" s="234"/>
      <c r="G190" s="234"/>
      <c r="H190" s="235">
        <f>SUM(H187:H189)</f>
        <v>0</v>
      </c>
    </row>
    <row r="191" spans="1:8" ht="15">
      <c r="A191" s="208"/>
      <c r="B191" s="209"/>
      <c r="C191" s="210" t="s">
        <v>1354</v>
      </c>
      <c r="D191" s="211"/>
      <c r="E191" s="212"/>
      <c r="F191" s="213"/>
      <c r="G191" s="213"/>
      <c r="H191"/>
    </row>
    <row r="192" spans="1:8" ht="15">
      <c r="A192" s="216">
        <f>A189+1</f>
        <v>113</v>
      </c>
      <c r="B192" s="217"/>
      <c r="C192" s="218" t="s">
        <v>1355</v>
      </c>
      <c r="D192" s="217" t="s">
        <v>306</v>
      </c>
      <c r="E192" s="219">
        <v>14</v>
      </c>
      <c r="F192" s="232">
        <v>0</v>
      </c>
      <c r="G192" s="220">
        <v>0</v>
      </c>
      <c r="H192" s="221">
        <f>F192*E192+G192*E192</f>
        <v>0</v>
      </c>
    </row>
    <row r="193" spans="1:8" ht="15">
      <c r="A193" s="216">
        <f>A192+1</f>
        <v>114</v>
      </c>
      <c r="B193" s="217"/>
      <c r="C193" s="218" t="s">
        <v>1356</v>
      </c>
      <c r="D193" s="217" t="s">
        <v>306</v>
      </c>
      <c r="E193" s="219">
        <v>20</v>
      </c>
      <c r="F193" s="232">
        <v>0</v>
      </c>
      <c r="G193" s="220">
        <v>0</v>
      </c>
      <c r="H193" s="221">
        <f>F193*E193+G193*E193</f>
        <v>0</v>
      </c>
    </row>
    <row r="194" spans="1:8" ht="15">
      <c r="A194" s="216">
        <f>A193+1</f>
        <v>115</v>
      </c>
      <c r="B194" s="217"/>
      <c r="C194" s="218" t="s">
        <v>1357</v>
      </c>
      <c r="D194" s="217" t="s">
        <v>306</v>
      </c>
      <c r="E194" s="219">
        <v>3</v>
      </c>
      <c r="F194" s="232">
        <v>0</v>
      </c>
      <c r="G194" s="220">
        <v>0</v>
      </c>
      <c r="H194" s="221">
        <f>F194*E194+G194*E194</f>
        <v>0</v>
      </c>
    </row>
    <row r="195" spans="1:8" ht="15">
      <c r="A195" s="223"/>
      <c r="B195" s="224"/>
      <c r="C195" s="225"/>
      <c r="D195" s="224"/>
      <c r="E195" s="226"/>
      <c r="F195" s="234"/>
      <c r="G195" s="234"/>
      <c r="H195" s="235">
        <f>SUM(H192:H194)</f>
        <v>0</v>
      </c>
    </row>
    <row r="196" spans="1:8" ht="15">
      <c r="A196" s="208"/>
      <c r="B196" s="209"/>
      <c r="C196" s="210" t="s">
        <v>1358</v>
      </c>
      <c r="D196" s="211"/>
      <c r="E196" s="212"/>
      <c r="F196" s="213"/>
      <c r="G196" s="213"/>
      <c r="H196" s="230"/>
    </row>
    <row r="197" spans="1:8" ht="15">
      <c r="A197" s="216">
        <f>A194+1</f>
        <v>116</v>
      </c>
      <c r="B197" s="217"/>
      <c r="C197" s="218" t="s">
        <v>1359</v>
      </c>
      <c r="D197" s="217" t="s">
        <v>1206</v>
      </c>
      <c r="E197" s="219">
        <v>1</v>
      </c>
      <c r="F197" s="220"/>
      <c r="G197" s="220">
        <v>0</v>
      </c>
      <c r="H197" s="221">
        <f aca="true" t="shared" si="20" ref="H197:H206">F197*E197+G197*E197</f>
        <v>0</v>
      </c>
    </row>
    <row r="198" spans="1:8" ht="15">
      <c r="A198" s="216">
        <f>A197+1</f>
        <v>117</v>
      </c>
      <c r="B198" s="217"/>
      <c r="C198" s="218" t="s">
        <v>1360</v>
      </c>
      <c r="D198" s="217" t="s">
        <v>1206</v>
      </c>
      <c r="E198" s="219">
        <v>1</v>
      </c>
      <c r="F198" s="232">
        <v>0</v>
      </c>
      <c r="G198" s="220"/>
      <c r="H198" s="221">
        <f t="shared" si="20"/>
        <v>0</v>
      </c>
    </row>
    <row r="199" spans="1:8" ht="15">
      <c r="A199" s="216">
        <f aca="true" t="shared" si="21" ref="A199:A206">A198+1</f>
        <v>118</v>
      </c>
      <c r="B199" s="217"/>
      <c r="C199" s="218" t="s">
        <v>1361</v>
      </c>
      <c r="D199" s="217" t="s">
        <v>919</v>
      </c>
      <c r="E199" s="219">
        <v>1</v>
      </c>
      <c r="F199" s="220"/>
      <c r="G199" s="220">
        <v>0</v>
      </c>
      <c r="H199" s="221">
        <f t="shared" si="20"/>
        <v>0</v>
      </c>
    </row>
    <row r="200" spans="1:8" ht="15">
      <c r="A200" s="216">
        <f t="shared" si="21"/>
        <v>119</v>
      </c>
      <c r="B200" s="217"/>
      <c r="C200" s="218" t="s">
        <v>1362</v>
      </c>
      <c r="D200" s="217" t="s">
        <v>919</v>
      </c>
      <c r="E200" s="219">
        <v>1</v>
      </c>
      <c r="F200" s="220"/>
      <c r="G200" s="220">
        <v>0</v>
      </c>
      <c r="H200" s="221">
        <f t="shared" si="20"/>
        <v>0</v>
      </c>
    </row>
    <row r="201" spans="1:8" ht="22.8">
      <c r="A201" s="216">
        <f t="shared" si="21"/>
        <v>120</v>
      </c>
      <c r="B201" s="217"/>
      <c r="C201" s="218" t="s">
        <v>1363</v>
      </c>
      <c r="D201" s="217" t="s">
        <v>919</v>
      </c>
      <c r="E201" s="219">
        <v>120</v>
      </c>
      <c r="F201" s="220"/>
      <c r="G201" s="220">
        <v>0</v>
      </c>
      <c r="H201" s="221">
        <f t="shared" si="20"/>
        <v>0</v>
      </c>
    </row>
    <row r="202" spans="1:8" ht="15">
      <c r="A202" s="216">
        <f t="shared" si="21"/>
        <v>121</v>
      </c>
      <c r="B202" s="217"/>
      <c r="C202" s="218" t="s">
        <v>1364</v>
      </c>
      <c r="D202" s="217" t="s">
        <v>919</v>
      </c>
      <c r="E202" s="219">
        <v>1</v>
      </c>
      <c r="F202" s="220"/>
      <c r="G202" s="220">
        <v>0</v>
      </c>
      <c r="H202" s="221">
        <f t="shared" si="20"/>
        <v>0</v>
      </c>
    </row>
    <row r="203" spans="1:8" ht="15">
      <c r="A203" s="216">
        <f t="shared" si="21"/>
        <v>122</v>
      </c>
      <c r="B203" s="217"/>
      <c r="C203" s="218" t="s">
        <v>1365</v>
      </c>
      <c r="D203" s="217" t="s">
        <v>919</v>
      </c>
      <c r="E203" s="219">
        <v>1</v>
      </c>
      <c r="F203" s="220"/>
      <c r="G203" s="220">
        <v>0</v>
      </c>
      <c r="H203" s="221">
        <f t="shared" si="20"/>
        <v>0</v>
      </c>
    </row>
    <row r="204" spans="1:8" ht="15">
      <c r="A204" s="216">
        <f t="shared" si="21"/>
        <v>123</v>
      </c>
      <c r="B204" s="217"/>
      <c r="C204" s="218" t="s">
        <v>1366</v>
      </c>
      <c r="D204" s="217" t="s">
        <v>919</v>
      </c>
      <c r="E204" s="219">
        <v>1</v>
      </c>
      <c r="F204" s="220"/>
      <c r="G204" s="220">
        <v>0</v>
      </c>
      <c r="H204" s="221">
        <f t="shared" si="20"/>
        <v>0</v>
      </c>
    </row>
    <row r="205" spans="1:8" ht="15">
      <c r="A205" s="216">
        <f t="shared" si="21"/>
        <v>124</v>
      </c>
      <c r="B205" s="217"/>
      <c r="C205" s="218" t="s">
        <v>1367</v>
      </c>
      <c r="D205" s="217" t="s">
        <v>1206</v>
      </c>
      <c r="E205" s="219">
        <v>1</v>
      </c>
      <c r="F205" s="220"/>
      <c r="G205" s="220">
        <v>0</v>
      </c>
      <c r="H205" s="221">
        <f t="shared" si="20"/>
        <v>0</v>
      </c>
    </row>
    <row r="206" spans="1:8" ht="15">
      <c r="A206" s="216">
        <f t="shared" si="21"/>
        <v>125</v>
      </c>
      <c r="B206" s="217"/>
      <c r="C206" s="218" t="s">
        <v>1368</v>
      </c>
      <c r="D206" s="231" t="s">
        <v>1206</v>
      </c>
      <c r="E206" s="219">
        <v>1</v>
      </c>
      <c r="F206" s="220"/>
      <c r="G206" s="220">
        <v>0</v>
      </c>
      <c r="H206" s="221">
        <f t="shared" si="20"/>
        <v>0</v>
      </c>
    </row>
    <row r="207" spans="6:8" ht="15">
      <c r="F207" s="243"/>
      <c r="G207" s="243"/>
      <c r="H207" s="244">
        <f>SUM(H197:H206)</f>
        <v>0</v>
      </c>
    </row>
    <row r="208" spans="6:8" ht="15">
      <c r="F208" s="243"/>
      <c r="G208" s="243"/>
      <c r="H208" s="244"/>
    </row>
    <row r="209" spans="3:8" ht="15">
      <c r="C209" s="245" t="s">
        <v>1369</v>
      </c>
      <c r="F209" s="246"/>
      <c r="G209" s="246"/>
      <c r="H209" s="247">
        <f>H207+H195+H185+H160+H126+H111+H89+H71+H166+H190+H23+H60</f>
        <v>0</v>
      </c>
    </row>
    <row r="210" spans="3:8" ht="15" thickBot="1">
      <c r="C210" s="248" t="s">
        <v>8</v>
      </c>
      <c r="D210" s="249"/>
      <c r="E210" s="250"/>
      <c r="F210" s="251"/>
      <c r="G210" s="251"/>
      <c r="H210" s="249">
        <f>0.21*H209</f>
        <v>0</v>
      </c>
    </row>
    <row r="211" spans="3:8" ht="15" thickTop="1">
      <c r="C211" s="245" t="s">
        <v>1370</v>
      </c>
      <c r="F211" s="247"/>
      <c r="G211" s="247"/>
      <c r="H211" s="247">
        <f>H209+H210</f>
        <v>0</v>
      </c>
    </row>
    <row r="213" spans="1:8" ht="58.5" customHeight="1">
      <c r="A213" s="817"/>
      <c r="B213" s="817"/>
      <c r="C213" s="817"/>
      <c r="D213" s="817"/>
      <c r="E213" s="817"/>
      <c r="F213" s="817"/>
      <c r="G213" s="817"/>
      <c r="H213" s="817"/>
    </row>
  </sheetData>
  <sheetProtection algorithmName="SHA-512" hashValue="yu+9r3yEZDhdCYsw1s4+qcWD4oqmauH0Rm07xyNdLeu43TBjsLcTF7cinxI3Rxw0JRoJV02eAEI5ypdr/kOqKw==" saltValue="VufH4+tT8AWmNdHvpk3eaA==" spinCount="100000" sheet="1" objects="1" scenarios="1"/>
  <mergeCells count="1">
    <mergeCell ref="A213:H213"/>
  </mergeCells>
  <printOptions/>
  <pageMargins left="0.25" right="0.25" top="0.75" bottom="0.75" header="0.3" footer="0.3"/>
  <pageSetup horizontalDpi="600" verticalDpi="600" orientation="landscape" scale="94" r:id="rId2"/>
  <rowBreaks count="3" manualBreakCount="3">
    <brk id="101" max="16383" man="1"/>
    <brk id="126" max="16383" man="1"/>
    <brk id="19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Krejcirik</dc:creator>
  <cp:keywords/>
  <dc:description/>
  <cp:lastModifiedBy>Atelier Krejcirik</cp:lastModifiedBy>
  <dcterms:created xsi:type="dcterms:W3CDTF">2019-09-24T07:39:48Z</dcterms:created>
  <dcterms:modified xsi:type="dcterms:W3CDTF">2020-07-09T08:53:25Z</dcterms:modified>
  <cp:category/>
  <cp:version/>
  <cp:contentType/>
  <cp:contentStatus/>
</cp:coreProperties>
</file>