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2" activeTab="2"/>
  </bookViews>
  <sheets>
    <sheet name="Stavební rozpočet" sheetId="1" state="hidden" r:id="rId1"/>
    <sheet name="Stavební rozpočet - součet" sheetId="2" state="hidden" r:id="rId2"/>
    <sheet name="Rozpočet - vybrané sloupce" sheetId="3" r:id="rId3"/>
    <sheet name="List1" sheetId="4" r:id="rId4"/>
  </sheets>
  <definedNames>
    <definedName name="_xlnm.Print_Titles" localSheetId="2">'Rozpočet - vybrané sloupce'!$12:$12</definedName>
    <definedName name="_xlnm.Print_Area" localSheetId="2">'Rozpočet - vybrané sloupce'!$A$1:$J$218</definedName>
  </definedNames>
  <calcPr fullCalcOnLoad="1"/>
</workbook>
</file>

<file path=xl/sharedStrings.xml><?xml version="1.0" encoding="utf-8"?>
<sst xmlns="http://schemas.openxmlformats.org/spreadsheetml/2006/main" count="2320" uniqueCount="409">
  <si>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</si>
  <si>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</si>
  <si>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</si>
  <si>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</si>
  <si>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</si>
  <si>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</si>
  <si>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</si>
  <si>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</si>
  <si>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</si>
  <si>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</si>
  <si>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</si>
  <si>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</si>
  <si>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</si>
  <si>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</si>
  <si>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</si>
  <si>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</si>
  <si>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</si>
  <si>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</si>
  <si>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</si>
  <si>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</si>
  <si>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</si>
  <si>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</si>
  <si>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</si>
  <si>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</si>
  <si>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</si>
  <si>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</si>
  <si>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</si>
  <si>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</si>
  <si>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</si>
  <si>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</si>
  <si>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</si>
  <si>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</si>
  <si>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</si>
  <si>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</si>
  <si>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</si>
  <si>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</si>
  <si>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</si>
  <si>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</si>
  <si>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</si>
  <si>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</si>
  <si>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</si>
  <si>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</si>
  <si>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</si>
  <si>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</si>
  <si>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</si>
  <si>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</si>
  <si>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</si>
  <si>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</si>
  <si>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</si>
  <si>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</si>
  <si>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</si>
  <si>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</si>
  <si>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</si>
  <si>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</si>
  <si>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</si>
  <si>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</si>
  <si>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</si>
  <si>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</si>
  <si>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</si>
  <si>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</si>
  <si>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</si>
  <si>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</si>
  <si>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</si>
  <si>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</si>
  <si>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</si>
  <si>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</si>
  <si>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</si>
  <si>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</si>
  <si>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</si>
  <si>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</si>
  <si>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</si>
  <si>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</si>
  <si>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</si>
  <si>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</si>
  <si>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</si>
  <si>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</si>
  <si>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</si>
  <si>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</si>
  <si>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</si>
  <si>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</si>
  <si>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</si>
  <si>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</si>
  <si>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</si>
  <si>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</si>
  <si>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</si>
  <si>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</si>
  <si>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</si>
  <si>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</si>
  <si>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</si>
  <si>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</si>
  <si>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</si>
  <si>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</si>
  <si>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</si>
  <si>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</si>
  <si>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</si>
  <si>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</si>
  <si>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</si>
  <si>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</si>
  <si>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</si>
  <si>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</si>
  <si>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</si>
  <si>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</si>
  <si>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</si>
  <si>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</si>
  <si>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</si>
  <si>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</si>
  <si>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</si>
  <si>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</si>
  <si>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</si>
  <si>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</si>
  <si>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</si>
  <si>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</si>
  <si>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</si>
  <si>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</si>
  <si>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</si>
  <si>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</si>
  <si>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</si>
  <si>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</si>
  <si>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</si>
  <si>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</si>
  <si>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</si>
  <si>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</si>
  <si>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</si>
  <si>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</si>
  <si>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</si>
  <si>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</si>
  <si>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</si>
  <si>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</si>
  <si>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</si>
  <si>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</si>
  <si>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</si>
  <si>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</si>
  <si>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</si>
  <si>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</si>
  <si>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</si>
  <si>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</si>
  <si>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</si>
  <si>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</si>
  <si>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</si>
  <si>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</si>
  <si>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</si>
  <si>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</si>
  <si>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</si>
  <si>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</si>
  <si>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</si>
  <si>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</si>
  <si>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</si>
  <si>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</si>
  <si>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</si>
  <si>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</si>
  <si>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</si>
  <si>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</si>
  <si>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</si>
  <si>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</si>
  <si>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</si>
  <si>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</si>
  <si>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</si>
  <si>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</si>
  <si>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</si>
  <si>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</si>
  <si>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</si>
  <si>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</si>
  <si>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</si>
  <si>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</si>
  <si>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</si>
  <si>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</si>
  <si>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</si>
  <si>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Poznámka:</t>
  </si>
  <si>
    <t>Objekt</t>
  </si>
  <si>
    <t>Kód</t>
  </si>
  <si>
    <t>01</t>
  </si>
  <si>
    <t>113107102RAC</t>
  </si>
  <si>
    <t>460030102RT1</t>
  </si>
  <si>
    <t>132201211R00</t>
  </si>
  <si>
    <t>564851111R00</t>
  </si>
  <si>
    <t>917862111R00</t>
  </si>
  <si>
    <t>59515030</t>
  </si>
  <si>
    <t>631361921RT9</t>
  </si>
  <si>
    <t>631315711RT2</t>
  </si>
  <si>
    <t>631319163R00</t>
  </si>
  <si>
    <t>711111001RZ1</t>
  </si>
  <si>
    <t>998810299R00</t>
  </si>
  <si>
    <t>998224111R00</t>
  </si>
  <si>
    <t>02</t>
  </si>
  <si>
    <t>871219111R00</t>
  </si>
  <si>
    <t>564761111R00</t>
  </si>
  <si>
    <t>564831111R00</t>
  </si>
  <si>
    <t>03</t>
  </si>
  <si>
    <t>04</t>
  </si>
  <si>
    <t>772500010RAI</t>
  </si>
  <si>
    <t>58384857.A</t>
  </si>
  <si>
    <t>599432111R00</t>
  </si>
  <si>
    <t>05</t>
  </si>
  <si>
    <t>07</t>
  </si>
  <si>
    <t>181006113R00</t>
  </si>
  <si>
    <t>579300016R00</t>
  </si>
  <si>
    <t>180402111R00</t>
  </si>
  <si>
    <t>632211411R00</t>
  </si>
  <si>
    <t>OBJEKT ÚŘADU VLÁDY ČR</t>
  </si>
  <si>
    <t>OPRAVA CHODNÍKŮ V ZAHRADĚ AREÁLU II ETAPA</t>
  </si>
  <si>
    <t>BENEŠOVA UL.201,SEZIMOVO ÚSTÍ</t>
  </si>
  <si>
    <t>Zkrácený popis</t>
  </si>
  <si>
    <t>Rozměry</t>
  </si>
  <si>
    <t>Úsek 014</t>
  </si>
  <si>
    <t>Odstranění betonového krytu tl. 6 cm nad 200 m2 vč. podkladu</t>
  </si>
  <si>
    <t>Vytrhání obrubníků, lože MC, stojatých</t>
  </si>
  <si>
    <t>Hloubení rýh š.do 200 cm hor.3 do 100 m3, strojně</t>
  </si>
  <si>
    <t>Podklad ze štěrkodrti po zhutnění tloušťky 15 cm 16/32</t>
  </si>
  <si>
    <t>Osazení stojat. obrub.bet. s opěrou,lože z C 12/15</t>
  </si>
  <si>
    <t>BEST - CIHLA betonová 65x290x140 přírodní</t>
  </si>
  <si>
    <t>Výztuž mazanin svařovanou sítí z drátů tažených - 8/150/150</t>
  </si>
  <si>
    <t>Mazanina betonová tl. 10 cm C 30/37 - XA1,XF3</t>
  </si>
  <si>
    <t>Příplatek za konečnou úpravu mazanin tl. 12 cm</t>
  </si>
  <si>
    <t>Ošetření betonových povrchů biocemickou modifikovanou hydroizolací</t>
  </si>
  <si>
    <t>Odvoz a likvidace odpadu dle vyhl. č. 294/2005 vč. poplatku</t>
  </si>
  <si>
    <t>Přesun hmot, pozemní komunikace, kryt betonový</t>
  </si>
  <si>
    <t>Úsek 015</t>
  </si>
  <si>
    <t>Kladení dren. potrubí bezvýkop.,flex.PVC, bez obs.</t>
  </si>
  <si>
    <t>Podklad z kameniva drceného vel.32-63 mm,tl. 20 cm</t>
  </si>
  <si>
    <t>Podklad ze štěrkodrti po zhutnění tloušťky 10 cm 16/32</t>
  </si>
  <si>
    <t>Mazanina betonová tl. 15 cm C 30/37 - XA1,XF3</t>
  </si>
  <si>
    <t>Příplatek za konečnou úpravu mazanin tl. 15 cm</t>
  </si>
  <si>
    <t>Úsek 016</t>
  </si>
  <si>
    <t>Úsek 017</t>
  </si>
  <si>
    <t>Odstranění desek z pískovce  k dalšímu použití</t>
  </si>
  <si>
    <t>Podklad ze štěrkodrti po zhutnění tloušťky 15 cm 5/32</t>
  </si>
  <si>
    <t>Dlažba z desek z přírodního kamene do drtě</t>
  </si>
  <si>
    <t>Deska dlažební  pískovec  tl. 4 cm</t>
  </si>
  <si>
    <t>Výplň spár dlažby - křemičitý písek</t>
  </si>
  <si>
    <t>Úsek 018</t>
  </si>
  <si>
    <t>Úsek 019</t>
  </si>
  <si>
    <t>Rozprostření zemin v rov./sklonu 1:5, tl. do 20 cm</t>
  </si>
  <si>
    <t>Kryt komunikací z mlatu tl. 10cm vč podrovnání</t>
  </si>
  <si>
    <t>Odvoz a likvidace odpadu dle vyhl. č. 294/2005 vč poplatku</t>
  </si>
  <si>
    <t>Úsek 20</t>
  </si>
  <si>
    <t>Kryt komunikací z mlatu tl. 10cm vč. podrovnání</t>
  </si>
  <si>
    <t>Úsek 21</t>
  </si>
  <si>
    <t>Položení trávníkového koberce - standard</t>
  </si>
  <si>
    <t>Úsek 22</t>
  </si>
  <si>
    <t>Úsek 23</t>
  </si>
  <si>
    <t>Kryt komunikací z mlatu tl. 10cm vč.podrovnání</t>
  </si>
  <si>
    <t>Úsek 24</t>
  </si>
  <si>
    <t>Úsek 25</t>
  </si>
  <si>
    <t>Úsek 26</t>
  </si>
  <si>
    <t>Úsek 27</t>
  </si>
  <si>
    <t>Úsek 28</t>
  </si>
  <si>
    <t>Hloubení rýh š.do 200 cm hor.3 do 100 m3, ručně</t>
  </si>
  <si>
    <t>Úsek 29</t>
  </si>
  <si>
    <t>Oprava dlažby z lomového kamene do MC vč. spárování</t>
  </si>
  <si>
    <t>Úsek 30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</si>
  <si>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</si>
  <si>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</si>
  <si>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</si>
  <si>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</si>
  <si>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</si>
  <si>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</si>
  <si>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</si>
  <si>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</si>
  <si>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kus</t>
  </si>
  <si>
    <t>t</t>
  </si>
  <si>
    <t>T</t>
  </si>
  <si>
    <t>Množství</t>
  </si>
  <si>
    <t>103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</si>
  <si>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</si>
  <si>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</si>
  <si>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</si>
  <si>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</si>
  <si>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</si>
  <si>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</si>
  <si>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</si>
  <si>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</si>
  <si>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</si>
  <si>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</si>
  <si>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STAVO - H CZ, s.r.o.</t>
  </si>
  <si>
    <t>Hlubocký Libor</t>
  </si>
  <si>
    <t>Celkem</t>
  </si>
  <si>
    <t>Hmotnost (t)</t>
  </si>
  <si>
    <t>Cenová</t>
  </si>
  <si>
    <t>soustava</t>
  </si>
  <si>
    <t>RTS II / 2013</t>
  </si>
  <si>
    <t>RTS I / 2013</t>
  </si>
  <si>
    <t>RTS II / 2014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</si>
  <si>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</si>
  <si>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</si>
  <si>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</si>
  <si>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</si>
  <si>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</si>
  <si>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</si>
  <si>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</si>
  <si>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</si>
  <si>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</si>
  <si>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</si>
  <si>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</si>
  <si>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01_</t>
  </si>
  <si>
    <t>02_</t>
  </si>
  <si>
    <t>03_</t>
  </si>
  <si>
    <t>04_</t>
  </si>
  <si>
    <t>05_</t>
  </si>
  <si>
    <t>07_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</si>
  <si>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</si>
  <si>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</si>
  <si>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</si>
  <si>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</si>
  <si>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</si>
  <si>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</si>
  <si>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</si>
  <si>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</si>
  <si>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</si>
  <si>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</si>
  <si>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</si>
  <si>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0_</t>
  </si>
  <si>
    <t>1_</t>
  </si>
  <si>
    <t>2_</t>
  </si>
  <si>
    <t>_</t>
  </si>
  <si>
    <t>Jednotková cena (Kč)</t>
  </si>
  <si>
    <t>Náklady celkem (Kč)</t>
  </si>
  <si>
    <t>Jednotková hmotnost(t)</t>
  </si>
  <si>
    <t>Celková hmotnost(t)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</si>
  <si>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</si>
  <si>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</si>
  <si>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</si>
  <si>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</si>
  <si>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</si>
  <si>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</si>
  <si>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B</t>
  </si>
  <si>
    <t>IČ/DIČ:</t>
  </si>
  <si>
    <t>Položek:</t>
  </si>
  <si>
    <t>Datum:</t>
  </si>
  <si>
    <t>Celkem bez DPH:</t>
  </si>
  <si>
    <t>t/m2</t>
  </si>
  <si>
    <t>132201111R00</t>
  </si>
  <si>
    <t>Hloubení rýh š.do 60 cm v hor.3 do 100 m3, strojně</t>
  </si>
  <si>
    <t>215901101R00</t>
  </si>
  <si>
    <t>Zhutnění podloží z hornin nesoudržných do 92% PS</t>
  </si>
  <si>
    <t>Podklad ze štěrkodrti po zhutnění tloušťky 10 cm 5/32</t>
  </si>
  <si>
    <t>274313811R00</t>
  </si>
  <si>
    <t>Beton základových pasů prostý C 30/37 XA1, XF3</t>
  </si>
  <si>
    <t>213151121R00</t>
  </si>
  <si>
    <t>311312012R00</t>
  </si>
  <si>
    <t>311351805R00</t>
  </si>
  <si>
    <t>Bednění nadzákl.zdí pohled.hl.oboustranné-zřízení</t>
  </si>
  <si>
    <t>311351806R00</t>
  </si>
  <si>
    <t>Bednění nadzákladových zdí oboustranné-odstranění</t>
  </si>
  <si>
    <t>Beton nadzákladových zdí prostý C 30/37, XA1, XF3</t>
  </si>
  <si>
    <t>Kryt komunikací z mlatu tl. 4cm vč. podrovnání</t>
  </si>
  <si>
    <t>596841111R00</t>
  </si>
  <si>
    <t>Kladení dlažby z dlaždic kom.pro pěší do lože z MC</t>
  </si>
  <si>
    <t>5924798440</t>
  </si>
  <si>
    <t>5924798441</t>
  </si>
  <si>
    <t>Kladení dlažby z dlaždic kom.pro pěší do lože z MC, koruna zdiva</t>
  </si>
  <si>
    <t>434121425R00</t>
  </si>
  <si>
    <t>Osazení želbet. stupňů na desku, broušených, včetně dodávky prefa stupňů</t>
  </si>
  <si>
    <t>SO04</t>
  </si>
  <si>
    <t>Betonový pochozí chodník</t>
  </si>
  <si>
    <t>SO05</t>
  </si>
  <si>
    <t>Mlatový chodník</t>
  </si>
  <si>
    <t>SO06</t>
  </si>
  <si>
    <t>SO07</t>
  </si>
  <si>
    <t>SO14</t>
  </si>
  <si>
    <t>SO15</t>
  </si>
  <si>
    <t>Odstraňovaný asfaltový chodník</t>
  </si>
  <si>
    <t>SO16</t>
  </si>
  <si>
    <t>Příplatek za konečnou úpravu mazanin do tl. 15 cm</t>
  </si>
  <si>
    <t>SO17</t>
  </si>
  <si>
    <t>Odstraňovaný kamenný chodník</t>
  </si>
  <si>
    <t>SO03.1</t>
  </si>
  <si>
    <t>SO03.3</t>
  </si>
  <si>
    <t>SO08.1</t>
  </si>
  <si>
    <t>SO09.1</t>
  </si>
  <si>
    <t>SO09.2</t>
  </si>
  <si>
    <t>SO10.1</t>
  </si>
  <si>
    <t>SO10.2</t>
  </si>
  <si>
    <t>SO10.3</t>
  </si>
  <si>
    <t>Kamenná cestička</t>
  </si>
  <si>
    <t>113107306R00</t>
  </si>
  <si>
    <t xml:space="preserve">Odstranění mlatového povrchu, včetně podkladu </t>
  </si>
  <si>
    <t>Rozebrání dlažeb z betonových dlaždic na sucho vč. podkladu</t>
  </si>
  <si>
    <t>113106004RAC</t>
  </si>
  <si>
    <t>567211110R00</t>
  </si>
  <si>
    <t>Podklad z prostého betonu tř. I  tloušťky 10 cm</t>
  </si>
  <si>
    <t>Dlažba kamenná, vápenec 40/40/5cm</t>
  </si>
  <si>
    <t>Dlažba kamenná, vápenec 80/40/5cm</t>
  </si>
  <si>
    <t>113107102R00</t>
  </si>
  <si>
    <t>Odstranění betonového nebo živičného krytu tl. 6-8 cm</t>
  </si>
  <si>
    <t>Odstranění podkladu, kam.těžené do tl. 6 cm</t>
  </si>
  <si>
    <t>REKONSTRUKCE CHODNÍKŮ V "AREÁLU BENEŠOVY VILY"</t>
  </si>
  <si>
    <t>a-detail, Kotnovská 165, Tábor</t>
  </si>
  <si>
    <t>Geobuňky PRS 330-150/A, včetně geotextilie (200g/m2)</t>
  </si>
  <si>
    <t>zaměření stavu</t>
  </si>
  <si>
    <t>Geodetické zaměření stavu řešené části a po realizace stavby</t>
  </si>
  <si>
    <t>zaměření po realizaci</t>
  </si>
  <si>
    <t>ks</t>
  </si>
  <si>
    <t>173</t>
  </si>
  <si>
    <t>186</t>
  </si>
  <si>
    <t>199</t>
  </si>
  <si>
    <t>211</t>
  </si>
  <si>
    <t>223</t>
  </si>
  <si>
    <t>375</t>
  </si>
  <si>
    <t>382</t>
  </si>
  <si>
    <t>389</t>
  </si>
  <si>
    <t>405</t>
  </si>
  <si>
    <t>411</t>
  </si>
  <si>
    <t>412</t>
  </si>
  <si>
    <t>Úřad vlády ČR, Nábřeží E. Beneše 128/4, Praha 1, 118 01</t>
  </si>
  <si>
    <t>Dlažba kolem záhonů</t>
  </si>
  <si>
    <t>Schodišťové stupně, zídka</t>
  </si>
  <si>
    <t>Mlatový chodník se záhony</t>
  </si>
  <si>
    <t>Betonový pochozí chodník + bet.plocha</t>
  </si>
  <si>
    <t>Cena celkem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</si>
</sst>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24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" fontId="0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3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1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8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12.75">
      <c r="A2" s="93" t="s">
        <v>1</v>
      </c>
      <c r="B2" s="94"/>
      <c r="C2" s="94"/>
      <c r="D2" s="95" t="s">
        <v>198</v>
      </c>
      <c r="E2" s="97" t="s">
        <v>250</v>
      </c>
      <c r="F2" s="94"/>
      <c r="G2" s="97" t="s">
        <v>262</v>
      </c>
      <c r="H2" s="94"/>
      <c r="I2" s="98" t="s">
        <v>268</v>
      </c>
      <c r="J2" s="98"/>
      <c r="K2" s="94"/>
      <c r="L2" s="94"/>
      <c r="M2" s="99"/>
      <c r="N2" s="32"/>
    </row>
    <row r="3" spans="1:14" ht="12.75">
      <c r="A3" s="90"/>
      <c r="B3" s="77"/>
      <c r="C3" s="77"/>
      <c r="D3" s="96"/>
      <c r="E3" s="77"/>
      <c r="F3" s="77"/>
      <c r="G3" s="77"/>
      <c r="H3" s="77"/>
      <c r="I3" s="77"/>
      <c r="J3" s="77"/>
      <c r="K3" s="77"/>
      <c r="L3" s="77"/>
      <c r="M3" s="88"/>
      <c r="N3" s="32"/>
    </row>
    <row r="4" spans="1:14" ht="12.75">
      <c r="A4" s="83" t="s">
        <v>2</v>
      </c>
      <c r="B4" s="77"/>
      <c r="C4" s="77"/>
      <c r="D4" s="76" t="s">
        <v>199</v>
      </c>
      <c r="E4" s="86" t="s">
        <v>251</v>
      </c>
      <c r="F4" s="77"/>
      <c r="G4" s="87">
        <v>42541</v>
      </c>
      <c r="H4" s="77"/>
      <c r="I4" s="76" t="s">
        <v>269</v>
      </c>
      <c r="J4" s="76"/>
      <c r="K4" s="77"/>
      <c r="L4" s="77"/>
      <c r="M4" s="88"/>
      <c r="N4" s="32"/>
    </row>
    <row r="5" spans="1:14" ht="12.75">
      <c r="A5" s="90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88"/>
      <c r="N5" s="32"/>
    </row>
    <row r="6" spans="1:14" ht="12.75">
      <c r="A6" s="83" t="s">
        <v>3</v>
      </c>
      <c r="B6" s="77"/>
      <c r="C6" s="77"/>
      <c r="D6" s="76" t="s">
        <v>200</v>
      </c>
      <c r="E6" s="86" t="s">
        <v>252</v>
      </c>
      <c r="F6" s="77"/>
      <c r="G6" s="87">
        <v>42643</v>
      </c>
      <c r="H6" s="77"/>
      <c r="I6" s="76" t="s">
        <v>270</v>
      </c>
      <c r="J6" s="76" t="s">
        <v>273</v>
      </c>
      <c r="K6" s="77"/>
      <c r="L6" s="77"/>
      <c r="M6" s="88"/>
      <c r="N6" s="32"/>
    </row>
    <row r="7" spans="1:14" ht="12.75">
      <c r="A7" s="90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88"/>
      <c r="N7" s="32"/>
    </row>
    <row r="8" spans="1:14" ht="12.75">
      <c r="A8" s="83" t="s">
        <v>4</v>
      </c>
      <c r="B8" s="77"/>
      <c r="C8" s="77"/>
      <c r="D8" s="76"/>
      <c r="E8" s="86" t="s">
        <v>253</v>
      </c>
      <c r="F8" s="77"/>
      <c r="G8" s="87">
        <v>42314</v>
      </c>
      <c r="H8" s="77"/>
      <c r="I8" s="76" t="s">
        <v>271</v>
      </c>
      <c r="J8" s="76" t="s">
        <v>274</v>
      </c>
      <c r="K8" s="77"/>
      <c r="L8" s="77"/>
      <c r="M8" s="88"/>
      <c r="N8" s="32"/>
    </row>
    <row r="9" spans="1:14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9"/>
      <c r="N9" s="32"/>
    </row>
    <row r="10" spans="1:14" ht="12.75">
      <c r="A10" s="1" t="s">
        <v>5</v>
      </c>
      <c r="B10" s="10" t="s">
        <v>168</v>
      </c>
      <c r="C10" s="10" t="s">
        <v>169</v>
      </c>
      <c r="D10" s="10" t="s">
        <v>201</v>
      </c>
      <c r="E10" s="10" t="s">
        <v>254</v>
      </c>
      <c r="F10" s="16" t="s">
        <v>261</v>
      </c>
      <c r="G10" s="20" t="s">
        <v>263</v>
      </c>
      <c r="H10" s="78" t="s">
        <v>265</v>
      </c>
      <c r="I10" s="79"/>
      <c r="J10" s="80"/>
      <c r="K10" s="78" t="s">
        <v>276</v>
      </c>
      <c r="L10" s="80"/>
      <c r="M10" s="27" t="s">
        <v>277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202</v>
      </c>
      <c r="E11" s="11" t="s">
        <v>6</v>
      </c>
      <c r="F11" s="11" t="s">
        <v>6</v>
      </c>
      <c r="G11" s="21" t="s">
        <v>264</v>
      </c>
      <c r="H11" s="22" t="s">
        <v>266</v>
      </c>
      <c r="I11" s="23" t="s">
        <v>272</v>
      </c>
      <c r="J11" s="24" t="s">
        <v>275</v>
      </c>
      <c r="K11" s="22" t="s">
        <v>263</v>
      </c>
      <c r="L11" s="24" t="s">
        <v>275</v>
      </c>
      <c r="M11" s="28" t="s">
        <v>278</v>
      </c>
      <c r="N11" s="33"/>
      <c r="P11" s="26" t="s">
        <v>283</v>
      </c>
      <c r="Q11" s="26" t="s">
        <v>284</v>
      </c>
      <c r="R11" s="26" t="s">
        <v>286</v>
      </c>
      <c r="S11" s="26" t="s">
        <v>287</v>
      </c>
      <c r="T11" s="26" t="s">
        <v>288</v>
      </c>
      <c r="U11" s="26" t="s">
        <v>289</v>
      </c>
      <c r="V11" s="26" t="s">
        <v>290</v>
      </c>
      <c r="W11" s="26" t="s">
        <v>291</v>
      </c>
      <c r="X11" s="26" t="s">
        <v>292</v>
      </c>
    </row>
    <row r="12" spans="1:37" ht="12.75">
      <c r="A12" s="3"/>
      <c r="B12" s="12"/>
      <c r="C12" s="12" t="s">
        <v>170</v>
      </c>
      <c r="D12" s="81" t="s">
        <v>203</v>
      </c>
      <c r="E12" s="82"/>
      <c r="F12" s="82"/>
      <c r="G12" s="82"/>
      <c r="H12" s="36">
        <f>SUM(H13:H24)</f>
        <v>16210.196099999994</v>
      </c>
      <c r="I12" s="36">
        <f>SUM(I13:I24)</f>
        <v>19462.926400000008</v>
      </c>
      <c r="J12" s="36">
        <f>H12+I12</f>
        <v>35673.1225</v>
      </c>
      <c r="K12" s="25"/>
      <c r="L12" s="36">
        <f>SUM(L13:L24)</f>
        <v>34.42059</v>
      </c>
      <c r="M12" s="25"/>
      <c r="P12" s="37">
        <f>IF(Q12="PR",J12,SUM(O13:O24))</f>
        <v>7284.88</v>
      </c>
      <c r="Q12" s="26" t="s">
        <v>285</v>
      </c>
      <c r="R12" s="37">
        <f>IF(Q12="HS",H12,0)</f>
        <v>16210.196099999994</v>
      </c>
      <c r="S12" s="37">
        <f>IF(Q12="HS",I12-P12,0)</f>
        <v>12178.046400000007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6"/>
      <c r="AI12" s="37">
        <f>SUM(Z13:Z24)</f>
        <v>0</v>
      </c>
      <c r="AJ12" s="37">
        <f>SUM(AA13:AA24)</f>
        <v>0</v>
      </c>
      <c r="AK12" s="37">
        <f>SUM(AB13:AB24)</f>
        <v>35673.1225</v>
      </c>
    </row>
    <row r="13" spans="1:43" ht="12.75">
      <c r="A13" s="4" t="s">
        <v>7</v>
      </c>
      <c r="B13" s="4"/>
      <c r="C13" s="4" t="s">
        <v>171</v>
      </c>
      <c r="D13" s="4" t="s">
        <v>204</v>
      </c>
      <c r="E13" s="4" t="s">
        <v>255</v>
      </c>
      <c r="F13" s="17">
        <v>21</v>
      </c>
      <c r="G13" s="17">
        <v>155</v>
      </c>
      <c r="H13" s="17">
        <f aca="true" t="shared" si="0" ref="H13:H24">F13*AE13</f>
        <v>60.270000000000124</v>
      </c>
      <c r="I13" s="17">
        <f aca="true" t="shared" si="1" ref="I13:I24">J13-H13</f>
        <v>3194.73</v>
      </c>
      <c r="J13" s="17">
        <f aca="true" t="shared" si="2" ref="J13:J24">F13*G13</f>
        <v>3255</v>
      </c>
      <c r="K13" s="17">
        <v>0.52</v>
      </c>
      <c r="L13" s="17">
        <f aca="true" t="shared" si="3" ref="L13:L24">F13*K13</f>
        <v>10.92</v>
      </c>
      <c r="M13" s="29" t="s">
        <v>279</v>
      </c>
      <c r="N13" s="29" t="s">
        <v>9</v>
      </c>
      <c r="O13" s="17">
        <f aca="true" t="shared" si="4" ref="O13:O24">IF(N13="5",I13,0)</f>
        <v>0</v>
      </c>
      <c r="Z13" s="17">
        <f aca="true" t="shared" si="5" ref="Z13:Z24">IF(AD13=0,J13,0)</f>
        <v>0</v>
      </c>
      <c r="AA13" s="17">
        <f aca="true" t="shared" si="6" ref="AA13:AA24">IF(AD13=15,J13,0)</f>
        <v>0</v>
      </c>
      <c r="AB13" s="17">
        <f aca="true" t="shared" si="7" ref="AB13:AB24">IF(AD13=21,J13,0)</f>
        <v>3255</v>
      </c>
      <c r="AD13" s="34">
        <v>21</v>
      </c>
      <c r="AE13" s="34">
        <f>G13*0.0185161290322581</f>
        <v>2.870000000000006</v>
      </c>
      <c r="AF13" s="34">
        <f>G13*(1-0.0185161290322581)</f>
        <v>152.13</v>
      </c>
      <c r="AM13" s="34">
        <f aca="true" t="shared" si="8" ref="AM13:AM24">F13*AE13</f>
        <v>60.270000000000124</v>
      </c>
      <c r="AN13" s="34">
        <f aca="true" t="shared" si="9" ref="AN13:AN24">F13*AF13</f>
        <v>3194.73</v>
      </c>
      <c r="AO13" s="35" t="s">
        <v>293</v>
      </c>
      <c r="AP13" s="35" t="s">
        <v>310</v>
      </c>
      <c r="AQ13" s="26" t="s">
        <v>313</v>
      </c>
    </row>
    <row r="14" spans="1:43" ht="12.75">
      <c r="A14" s="4" t="s">
        <v>8</v>
      </c>
      <c r="B14" s="4"/>
      <c r="C14" s="4" t="s">
        <v>172</v>
      </c>
      <c r="D14" s="4" t="s">
        <v>205</v>
      </c>
      <c r="E14" s="4" t="s">
        <v>256</v>
      </c>
      <c r="F14" s="17">
        <v>30</v>
      </c>
      <c r="G14" s="17">
        <v>28.8</v>
      </c>
      <c r="H14" s="17">
        <f t="shared" si="0"/>
        <v>0</v>
      </c>
      <c r="I14" s="17">
        <f t="shared" si="1"/>
        <v>864</v>
      </c>
      <c r="J14" s="17">
        <f t="shared" si="2"/>
        <v>864</v>
      </c>
      <c r="K14" s="17">
        <v>0.017</v>
      </c>
      <c r="L14" s="17">
        <f t="shared" si="3"/>
        <v>0.51</v>
      </c>
      <c r="M14" s="29" t="s">
        <v>279</v>
      </c>
      <c r="N14" s="29" t="s">
        <v>8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864</v>
      </c>
      <c r="AD14" s="34">
        <v>21</v>
      </c>
      <c r="AE14" s="34">
        <f>G14*0</f>
        <v>0</v>
      </c>
      <c r="AF14" s="34">
        <f>G14*(1-0)</f>
        <v>28.8</v>
      </c>
      <c r="AM14" s="34">
        <f t="shared" si="8"/>
        <v>0</v>
      </c>
      <c r="AN14" s="34">
        <f t="shared" si="9"/>
        <v>864</v>
      </c>
      <c r="AO14" s="35" t="s">
        <v>293</v>
      </c>
      <c r="AP14" s="35" t="s">
        <v>310</v>
      </c>
      <c r="AQ14" s="26" t="s">
        <v>313</v>
      </c>
    </row>
    <row r="15" spans="1:43" ht="12.75">
      <c r="A15" s="4" t="s">
        <v>9</v>
      </c>
      <c r="B15" s="4"/>
      <c r="C15" s="4" t="s">
        <v>173</v>
      </c>
      <c r="D15" s="4" t="s">
        <v>206</v>
      </c>
      <c r="E15" s="4" t="s">
        <v>257</v>
      </c>
      <c r="F15" s="17">
        <v>4.2</v>
      </c>
      <c r="G15" s="17">
        <v>155</v>
      </c>
      <c r="H15" s="17">
        <f t="shared" si="0"/>
        <v>0</v>
      </c>
      <c r="I15" s="17">
        <f t="shared" si="1"/>
        <v>651</v>
      </c>
      <c r="J15" s="17">
        <f t="shared" si="2"/>
        <v>651</v>
      </c>
      <c r="K15" s="17">
        <v>1.6</v>
      </c>
      <c r="L15" s="17">
        <f t="shared" si="3"/>
        <v>6.720000000000001</v>
      </c>
      <c r="M15" s="29" t="s">
        <v>280</v>
      </c>
      <c r="N15" s="29" t="s">
        <v>7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651</v>
      </c>
      <c r="AD15" s="34">
        <v>21</v>
      </c>
      <c r="AE15" s="34">
        <f>G15*0</f>
        <v>0</v>
      </c>
      <c r="AF15" s="34">
        <f>G15*(1-0)</f>
        <v>155</v>
      </c>
      <c r="AM15" s="34">
        <f t="shared" si="8"/>
        <v>0</v>
      </c>
      <c r="AN15" s="34">
        <f t="shared" si="9"/>
        <v>651</v>
      </c>
      <c r="AO15" s="35" t="s">
        <v>293</v>
      </c>
      <c r="AP15" s="35" t="s">
        <v>310</v>
      </c>
      <c r="AQ15" s="26" t="s">
        <v>313</v>
      </c>
    </row>
    <row r="16" spans="1:43" ht="12.75">
      <c r="A16" s="4" t="s">
        <v>10</v>
      </c>
      <c r="B16" s="4"/>
      <c r="C16" s="4" t="s">
        <v>174</v>
      </c>
      <c r="D16" s="4" t="s">
        <v>207</v>
      </c>
      <c r="E16" s="4" t="s">
        <v>255</v>
      </c>
      <c r="F16" s="17">
        <v>21</v>
      </c>
      <c r="G16" s="17">
        <v>109.2</v>
      </c>
      <c r="H16" s="17">
        <f t="shared" si="0"/>
        <v>1934.309999999999</v>
      </c>
      <c r="I16" s="17">
        <f t="shared" si="1"/>
        <v>358.89000000000124</v>
      </c>
      <c r="J16" s="17">
        <f t="shared" si="2"/>
        <v>2293.2000000000003</v>
      </c>
      <c r="K16" s="17">
        <v>0.27994</v>
      </c>
      <c r="L16" s="17">
        <f t="shared" si="3"/>
        <v>5.8787400000000005</v>
      </c>
      <c r="M16" s="29" t="s">
        <v>280</v>
      </c>
      <c r="N16" s="29" t="s">
        <v>7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2293.2000000000003</v>
      </c>
      <c r="AD16" s="34">
        <v>21</v>
      </c>
      <c r="AE16" s="34">
        <f>G16*0.843498168498168</f>
        <v>92.10999999999996</v>
      </c>
      <c r="AF16" s="34">
        <f>G16*(1-0.843498168498168)</f>
        <v>17.09000000000005</v>
      </c>
      <c r="AM16" s="34">
        <f t="shared" si="8"/>
        <v>1934.309999999999</v>
      </c>
      <c r="AN16" s="34">
        <f t="shared" si="9"/>
        <v>358.89000000000107</v>
      </c>
      <c r="AO16" s="35" t="s">
        <v>293</v>
      </c>
      <c r="AP16" s="35" t="s">
        <v>310</v>
      </c>
      <c r="AQ16" s="26" t="s">
        <v>313</v>
      </c>
    </row>
    <row r="17" spans="1:43" ht="12.75">
      <c r="A17" s="4" t="s">
        <v>11</v>
      </c>
      <c r="B17" s="4"/>
      <c r="C17" s="4" t="s">
        <v>175</v>
      </c>
      <c r="D17" s="4" t="s">
        <v>208</v>
      </c>
      <c r="E17" s="4" t="s">
        <v>256</v>
      </c>
      <c r="F17" s="17">
        <v>30</v>
      </c>
      <c r="G17" s="17">
        <v>178.5</v>
      </c>
      <c r="H17" s="17">
        <f t="shared" si="0"/>
        <v>3415.199999999997</v>
      </c>
      <c r="I17" s="17">
        <f t="shared" si="1"/>
        <v>1939.800000000003</v>
      </c>
      <c r="J17" s="17">
        <f t="shared" si="2"/>
        <v>5355</v>
      </c>
      <c r="K17" s="17">
        <v>0.14424</v>
      </c>
      <c r="L17" s="17">
        <f t="shared" si="3"/>
        <v>4.3272</v>
      </c>
      <c r="M17" s="29" t="s">
        <v>279</v>
      </c>
      <c r="N17" s="29" t="s">
        <v>7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5355</v>
      </c>
      <c r="AD17" s="34">
        <v>21</v>
      </c>
      <c r="AE17" s="34">
        <f>G17*0.637759103641456</f>
        <v>113.8399999999999</v>
      </c>
      <c r="AF17" s="34">
        <f>G17*(1-0.637759103641456)</f>
        <v>64.6600000000001</v>
      </c>
      <c r="AM17" s="34">
        <f t="shared" si="8"/>
        <v>3415.199999999997</v>
      </c>
      <c r="AN17" s="34">
        <f t="shared" si="9"/>
        <v>1939.800000000003</v>
      </c>
      <c r="AO17" s="35" t="s">
        <v>293</v>
      </c>
      <c r="AP17" s="35" t="s">
        <v>310</v>
      </c>
      <c r="AQ17" s="26" t="s">
        <v>313</v>
      </c>
    </row>
    <row r="18" spans="1:43" ht="12.75">
      <c r="A18" s="5" t="s">
        <v>12</v>
      </c>
      <c r="B18" s="5"/>
      <c r="C18" s="5" t="s">
        <v>176</v>
      </c>
      <c r="D18" s="5" t="s">
        <v>209</v>
      </c>
      <c r="E18" s="5" t="s">
        <v>258</v>
      </c>
      <c r="F18" s="18">
        <v>105</v>
      </c>
      <c r="G18" s="18">
        <v>14.6</v>
      </c>
      <c r="H18" s="18">
        <f t="shared" si="0"/>
        <v>1533</v>
      </c>
      <c r="I18" s="18">
        <f t="shared" si="1"/>
        <v>0</v>
      </c>
      <c r="J18" s="18">
        <f t="shared" si="2"/>
        <v>1533</v>
      </c>
      <c r="K18" s="18">
        <v>0.0052</v>
      </c>
      <c r="L18" s="18">
        <f t="shared" si="3"/>
        <v>0.5459999999999999</v>
      </c>
      <c r="M18" s="30" t="s">
        <v>279</v>
      </c>
      <c r="N18" s="30" t="s">
        <v>282</v>
      </c>
      <c r="O18" s="18">
        <f t="shared" si="4"/>
        <v>0</v>
      </c>
      <c r="Z18" s="18">
        <f t="shared" si="5"/>
        <v>0</v>
      </c>
      <c r="AA18" s="18">
        <f t="shared" si="6"/>
        <v>0</v>
      </c>
      <c r="AB18" s="18">
        <f t="shared" si="7"/>
        <v>1533</v>
      </c>
      <c r="AD18" s="34">
        <v>21</v>
      </c>
      <c r="AE18" s="34">
        <f>G18*1</f>
        <v>14.6</v>
      </c>
      <c r="AF18" s="34">
        <f>G18*(1-1)</f>
        <v>0</v>
      </c>
      <c r="AM18" s="34">
        <f t="shared" si="8"/>
        <v>1533</v>
      </c>
      <c r="AN18" s="34">
        <f t="shared" si="9"/>
        <v>0</v>
      </c>
      <c r="AO18" s="35" t="s">
        <v>293</v>
      </c>
      <c r="AP18" s="35" t="s">
        <v>310</v>
      </c>
      <c r="AQ18" s="26" t="s">
        <v>313</v>
      </c>
    </row>
    <row r="19" spans="1:43" ht="12.75">
      <c r="A19" s="4" t="s">
        <v>13</v>
      </c>
      <c r="B19" s="4"/>
      <c r="C19" s="4" t="s">
        <v>177</v>
      </c>
      <c r="D19" s="4" t="s">
        <v>210</v>
      </c>
      <c r="E19" s="4" t="s">
        <v>259</v>
      </c>
      <c r="F19" s="17">
        <v>0.12</v>
      </c>
      <c r="G19" s="17">
        <v>28750</v>
      </c>
      <c r="H19" s="17">
        <f t="shared" si="0"/>
        <v>2899.197599999998</v>
      </c>
      <c r="I19" s="17">
        <f t="shared" si="1"/>
        <v>550.8024000000019</v>
      </c>
      <c r="J19" s="17">
        <f t="shared" si="2"/>
        <v>3450</v>
      </c>
      <c r="K19" s="17">
        <v>1.06625</v>
      </c>
      <c r="L19" s="17">
        <f t="shared" si="3"/>
        <v>0.12794999999999998</v>
      </c>
      <c r="M19" s="29" t="s">
        <v>279</v>
      </c>
      <c r="N19" s="29" t="s">
        <v>7</v>
      </c>
      <c r="O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3450</v>
      </c>
      <c r="AD19" s="34">
        <v>21</v>
      </c>
      <c r="AE19" s="34">
        <f>G19*0.840347130434782</f>
        <v>24159.979999999985</v>
      </c>
      <c r="AF19" s="34">
        <f>G19*(1-0.840347130434782)</f>
        <v>4590.020000000016</v>
      </c>
      <c r="AM19" s="34">
        <f t="shared" si="8"/>
        <v>2899.197599999998</v>
      </c>
      <c r="AN19" s="34">
        <f t="shared" si="9"/>
        <v>550.8024000000019</v>
      </c>
      <c r="AO19" s="35" t="s">
        <v>293</v>
      </c>
      <c r="AP19" s="35" t="s">
        <v>310</v>
      </c>
      <c r="AQ19" s="26" t="s">
        <v>313</v>
      </c>
    </row>
    <row r="20" spans="1:43" ht="12.75">
      <c r="A20" s="4" t="s">
        <v>14</v>
      </c>
      <c r="B20" s="4"/>
      <c r="C20" s="4" t="s">
        <v>178</v>
      </c>
      <c r="D20" s="4" t="s">
        <v>211</v>
      </c>
      <c r="E20" s="4" t="s">
        <v>257</v>
      </c>
      <c r="F20" s="17">
        <v>2.1</v>
      </c>
      <c r="G20" s="17">
        <v>2890</v>
      </c>
      <c r="H20" s="17">
        <f t="shared" si="0"/>
        <v>3532.724999999998</v>
      </c>
      <c r="I20" s="17">
        <f t="shared" si="1"/>
        <v>2536.275000000002</v>
      </c>
      <c r="J20" s="17">
        <f t="shared" si="2"/>
        <v>6069</v>
      </c>
      <c r="K20" s="17">
        <v>2.545</v>
      </c>
      <c r="L20" s="17">
        <f t="shared" si="3"/>
        <v>5.3445</v>
      </c>
      <c r="M20" s="29" t="s">
        <v>279</v>
      </c>
      <c r="N20" s="29" t="s">
        <v>7</v>
      </c>
      <c r="O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6069</v>
      </c>
      <c r="AD20" s="34">
        <v>21</v>
      </c>
      <c r="AE20" s="34">
        <f>G20*0.582093425605536</f>
        <v>1682.249999999999</v>
      </c>
      <c r="AF20" s="34">
        <f>G20*(1-0.582093425605536)</f>
        <v>1207.750000000001</v>
      </c>
      <c r="AM20" s="34">
        <f t="shared" si="8"/>
        <v>3532.724999999998</v>
      </c>
      <c r="AN20" s="34">
        <f t="shared" si="9"/>
        <v>2536.275000000002</v>
      </c>
      <c r="AO20" s="35" t="s">
        <v>293</v>
      </c>
      <c r="AP20" s="35" t="s">
        <v>310</v>
      </c>
      <c r="AQ20" s="26" t="s">
        <v>313</v>
      </c>
    </row>
    <row r="21" spans="1:43" ht="12.75">
      <c r="A21" s="4" t="s">
        <v>15</v>
      </c>
      <c r="B21" s="4"/>
      <c r="C21" s="4" t="s">
        <v>179</v>
      </c>
      <c r="D21" s="4" t="s">
        <v>212</v>
      </c>
      <c r="E21" s="4" t="s">
        <v>257</v>
      </c>
      <c r="F21" s="17">
        <v>2.1</v>
      </c>
      <c r="G21" s="17">
        <v>491.925</v>
      </c>
      <c r="H21" s="17">
        <f t="shared" si="0"/>
        <v>125.02350000000014</v>
      </c>
      <c r="I21" s="17">
        <f t="shared" si="1"/>
        <v>908.0189999999999</v>
      </c>
      <c r="J21" s="17">
        <f t="shared" si="2"/>
        <v>1033.0425</v>
      </c>
      <c r="K21" s="17">
        <v>0.02</v>
      </c>
      <c r="L21" s="17">
        <f t="shared" si="3"/>
        <v>0.042</v>
      </c>
      <c r="M21" s="29" t="s">
        <v>279</v>
      </c>
      <c r="N21" s="29" t="s">
        <v>7</v>
      </c>
      <c r="O21" s="17">
        <f t="shared" si="4"/>
        <v>0</v>
      </c>
      <c r="Z21" s="17">
        <f t="shared" si="5"/>
        <v>0</v>
      </c>
      <c r="AA21" s="17">
        <f t="shared" si="6"/>
        <v>0</v>
      </c>
      <c r="AB21" s="17">
        <f t="shared" si="7"/>
        <v>1033.0425</v>
      </c>
      <c r="AD21" s="34">
        <v>21</v>
      </c>
      <c r="AE21" s="34">
        <f>G21*0.12102454642476</f>
        <v>59.53500000000007</v>
      </c>
      <c r="AF21" s="34">
        <f>G21*(1-0.12102454642476)</f>
        <v>432.38999999999993</v>
      </c>
      <c r="AM21" s="34">
        <f t="shared" si="8"/>
        <v>125.02350000000014</v>
      </c>
      <c r="AN21" s="34">
        <f t="shared" si="9"/>
        <v>908.0189999999999</v>
      </c>
      <c r="AO21" s="35" t="s">
        <v>293</v>
      </c>
      <c r="AP21" s="35" t="s">
        <v>310</v>
      </c>
      <c r="AQ21" s="26" t="s">
        <v>313</v>
      </c>
    </row>
    <row r="22" spans="1:43" ht="12.75">
      <c r="A22" s="4" t="s">
        <v>16</v>
      </c>
      <c r="B22" s="4"/>
      <c r="C22" s="4" t="s">
        <v>180</v>
      </c>
      <c r="D22" s="4" t="s">
        <v>213</v>
      </c>
      <c r="E22" s="4" t="s">
        <v>255</v>
      </c>
      <c r="F22" s="17">
        <v>21</v>
      </c>
      <c r="G22" s="17">
        <v>185</v>
      </c>
      <c r="H22" s="17">
        <f t="shared" si="0"/>
        <v>2710.470000000001</v>
      </c>
      <c r="I22" s="17">
        <f t="shared" si="1"/>
        <v>1174.5299999999988</v>
      </c>
      <c r="J22" s="17">
        <f t="shared" si="2"/>
        <v>3885</v>
      </c>
      <c r="K22" s="17">
        <v>0.0002</v>
      </c>
      <c r="L22" s="17">
        <f t="shared" si="3"/>
        <v>0.004200000000000001</v>
      </c>
      <c r="M22" s="29" t="s">
        <v>280</v>
      </c>
      <c r="N22" s="29" t="s">
        <v>7</v>
      </c>
      <c r="O22" s="17">
        <f t="shared" si="4"/>
        <v>0</v>
      </c>
      <c r="Z22" s="17">
        <f t="shared" si="5"/>
        <v>0</v>
      </c>
      <c r="AA22" s="17">
        <f t="shared" si="6"/>
        <v>0</v>
      </c>
      <c r="AB22" s="17">
        <f t="shared" si="7"/>
        <v>3885</v>
      </c>
      <c r="AD22" s="34">
        <v>21</v>
      </c>
      <c r="AE22" s="34">
        <f>G22*0.697675675675676</f>
        <v>129.07000000000005</v>
      </c>
      <c r="AF22" s="34">
        <f>G22*(1-0.697675675675676)</f>
        <v>55.929999999999936</v>
      </c>
      <c r="AM22" s="34">
        <f t="shared" si="8"/>
        <v>2710.470000000001</v>
      </c>
      <c r="AN22" s="34">
        <f t="shared" si="9"/>
        <v>1174.5299999999986</v>
      </c>
      <c r="AO22" s="35" t="s">
        <v>293</v>
      </c>
      <c r="AP22" s="35" t="s">
        <v>310</v>
      </c>
      <c r="AQ22" s="26" t="s">
        <v>313</v>
      </c>
    </row>
    <row r="23" spans="1:43" ht="12.75">
      <c r="A23" s="4" t="s">
        <v>17</v>
      </c>
      <c r="B23" s="4"/>
      <c r="C23" s="4" t="s">
        <v>181</v>
      </c>
      <c r="D23" s="4" t="s">
        <v>214</v>
      </c>
      <c r="E23" s="4" t="s">
        <v>259</v>
      </c>
      <c r="F23" s="17">
        <v>10.9</v>
      </c>
      <c r="G23" s="17">
        <v>530</v>
      </c>
      <c r="H23" s="17">
        <f t="shared" si="0"/>
        <v>0</v>
      </c>
      <c r="I23" s="17">
        <f t="shared" si="1"/>
        <v>5777</v>
      </c>
      <c r="J23" s="17">
        <f t="shared" si="2"/>
        <v>5777</v>
      </c>
      <c r="K23" s="17">
        <v>0</v>
      </c>
      <c r="L23" s="17">
        <f t="shared" si="3"/>
        <v>0</v>
      </c>
      <c r="M23" s="29" t="s">
        <v>280</v>
      </c>
      <c r="N23" s="29" t="s">
        <v>11</v>
      </c>
      <c r="O23" s="17">
        <f t="shared" si="4"/>
        <v>5777</v>
      </c>
      <c r="Z23" s="17">
        <f t="shared" si="5"/>
        <v>0</v>
      </c>
      <c r="AA23" s="17">
        <f t="shared" si="6"/>
        <v>0</v>
      </c>
      <c r="AB23" s="17">
        <f t="shared" si="7"/>
        <v>5777</v>
      </c>
      <c r="AD23" s="34">
        <v>21</v>
      </c>
      <c r="AE23" s="34">
        <f>G23*0</f>
        <v>0</v>
      </c>
      <c r="AF23" s="34">
        <f>G23*(1-0)</f>
        <v>530</v>
      </c>
      <c r="AM23" s="34">
        <f t="shared" si="8"/>
        <v>0</v>
      </c>
      <c r="AN23" s="34">
        <f t="shared" si="9"/>
        <v>5777</v>
      </c>
      <c r="AO23" s="35" t="s">
        <v>293</v>
      </c>
      <c r="AP23" s="35" t="s">
        <v>310</v>
      </c>
      <c r="AQ23" s="26" t="s">
        <v>313</v>
      </c>
    </row>
    <row r="24" spans="1:43" ht="12.75">
      <c r="A24" s="4" t="s">
        <v>18</v>
      </c>
      <c r="B24" s="4"/>
      <c r="C24" s="4" t="s">
        <v>182</v>
      </c>
      <c r="D24" s="4" t="s">
        <v>215</v>
      </c>
      <c r="E24" s="4" t="s">
        <v>259</v>
      </c>
      <c r="F24" s="17">
        <v>29.8</v>
      </c>
      <c r="G24" s="17">
        <v>50.6</v>
      </c>
      <c r="H24" s="17">
        <f t="shared" si="0"/>
        <v>0</v>
      </c>
      <c r="I24" s="17">
        <f t="shared" si="1"/>
        <v>1507.88</v>
      </c>
      <c r="J24" s="17">
        <f t="shared" si="2"/>
        <v>1507.88</v>
      </c>
      <c r="K24" s="17">
        <v>0</v>
      </c>
      <c r="L24" s="17">
        <f t="shared" si="3"/>
        <v>0</v>
      </c>
      <c r="M24" s="29" t="s">
        <v>281</v>
      </c>
      <c r="N24" s="29" t="s">
        <v>11</v>
      </c>
      <c r="O24" s="17">
        <f t="shared" si="4"/>
        <v>1507.88</v>
      </c>
      <c r="Z24" s="17">
        <f t="shared" si="5"/>
        <v>0</v>
      </c>
      <c r="AA24" s="17">
        <f t="shared" si="6"/>
        <v>0</v>
      </c>
      <c r="AB24" s="17">
        <f t="shared" si="7"/>
        <v>1507.88</v>
      </c>
      <c r="AD24" s="34">
        <v>21</v>
      </c>
      <c r="AE24" s="34">
        <f>G24*0</f>
        <v>0</v>
      </c>
      <c r="AF24" s="34">
        <f>G24*(1-0)</f>
        <v>50.6</v>
      </c>
      <c r="AM24" s="34">
        <f t="shared" si="8"/>
        <v>0</v>
      </c>
      <c r="AN24" s="34">
        <f t="shared" si="9"/>
        <v>1507.88</v>
      </c>
      <c r="AO24" s="35" t="s">
        <v>293</v>
      </c>
      <c r="AP24" s="35" t="s">
        <v>310</v>
      </c>
      <c r="AQ24" s="26" t="s">
        <v>313</v>
      </c>
    </row>
    <row r="25" spans="1:37" ht="12.75">
      <c r="A25" s="6"/>
      <c r="B25" s="13"/>
      <c r="C25" s="13" t="s">
        <v>183</v>
      </c>
      <c r="D25" s="72" t="s">
        <v>216</v>
      </c>
      <c r="E25" s="73"/>
      <c r="F25" s="73"/>
      <c r="G25" s="73"/>
      <c r="H25" s="37">
        <f>SUM(H26:H39)</f>
        <v>221148.0412000001</v>
      </c>
      <c r="I25" s="37">
        <f>SUM(I26:I39)</f>
        <v>150723.85479999988</v>
      </c>
      <c r="J25" s="37">
        <f>H25+I25</f>
        <v>371871.89599999995</v>
      </c>
      <c r="K25" s="26"/>
      <c r="L25" s="37">
        <f>SUM(L26:L39)</f>
        <v>354.0644815</v>
      </c>
      <c r="M25" s="26"/>
      <c r="P25" s="37">
        <f>IF(Q25="PR",J25,SUM(O26:O39))</f>
        <v>40188.36</v>
      </c>
      <c r="Q25" s="26" t="s">
        <v>285</v>
      </c>
      <c r="R25" s="37">
        <f>IF(Q25="HS",H25,0)</f>
        <v>221148.0412000001</v>
      </c>
      <c r="S25" s="37">
        <f>IF(Q25="HS",I25-P25,0)</f>
        <v>110535.49479999988</v>
      </c>
      <c r="T25" s="37">
        <f>IF(Q25="PS",H25,0)</f>
        <v>0</v>
      </c>
      <c r="U25" s="37">
        <f>IF(Q25="PS",I25-P25,0)</f>
        <v>0</v>
      </c>
      <c r="V25" s="37">
        <f>IF(Q25="MP",H25,0)</f>
        <v>0</v>
      </c>
      <c r="W25" s="37">
        <f>IF(Q25="MP",I25-P25,0)</f>
        <v>0</v>
      </c>
      <c r="X25" s="37">
        <f>IF(Q25="OM",H25,0)</f>
        <v>0</v>
      </c>
      <c r="Y25" s="26"/>
      <c r="AI25" s="37">
        <f>SUM(Z26:Z39)</f>
        <v>0</v>
      </c>
      <c r="AJ25" s="37">
        <f>SUM(AA26:AA39)</f>
        <v>0</v>
      </c>
      <c r="AK25" s="37">
        <f>SUM(AB26:AB39)</f>
        <v>371871.896</v>
      </c>
    </row>
    <row r="26" spans="1:43" ht="12.75">
      <c r="A26" s="4" t="s">
        <v>19</v>
      </c>
      <c r="B26" s="4"/>
      <c r="C26" s="4" t="s">
        <v>171</v>
      </c>
      <c r="D26" s="4" t="s">
        <v>204</v>
      </c>
      <c r="E26" s="4" t="s">
        <v>255</v>
      </c>
      <c r="F26" s="17">
        <v>203.7</v>
      </c>
      <c r="G26" s="17">
        <v>155</v>
      </c>
      <c r="H26" s="17">
        <f aca="true" t="shared" si="10" ref="H26:H39">F26*AE26</f>
        <v>584.6190000000012</v>
      </c>
      <c r="I26" s="17">
        <f aca="true" t="shared" si="11" ref="I26:I39">J26-H26</f>
        <v>30988.880999999998</v>
      </c>
      <c r="J26" s="17">
        <f aca="true" t="shared" si="12" ref="J26:J39">F26*G26</f>
        <v>31573.5</v>
      </c>
      <c r="K26" s="17">
        <v>0.22</v>
      </c>
      <c r="L26" s="17">
        <f aca="true" t="shared" si="13" ref="L26:L39">F26*K26</f>
        <v>44.814</v>
      </c>
      <c r="M26" s="29" t="s">
        <v>279</v>
      </c>
      <c r="N26" s="29" t="s">
        <v>9</v>
      </c>
      <c r="O26" s="17">
        <f aca="true" t="shared" si="14" ref="O26:O39">IF(N26="5",I26,0)</f>
        <v>0</v>
      </c>
      <c r="Z26" s="17">
        <f aca="true" t="shared" si="15" ref="Z26:Z39">IF(AD26=0,J26,0)</f>
        <v>0</v>
      </c>
      <c r="AA26" s="17">
        <f aca="true" t="shared" si="16" ref="AA26:AA39">IF(AD26=15,J26,0)</f>
        <v>0</v>
      </c>
      <c r="AB26" s="17">
        <f aca="true" t="shared" si="17" ref="AB26:AB39">IF(AD26=21,J26,0)</f>
        <v>31573.5</v>
      </c>
      <c r="AD26" s="34">
        <v>21</v>
      </c>
      <c r="AE26" s="34">
        <f>G26*0.0185161290322581</f>
        <v>2.870000000000006</v>
      </c>
      <c r="AF26" s="34">
        <f>G26*(1-0.0185161290322581)</f>
        <v>152.13</v>
      </c>
      <c r="AM26" s="34">
        <f aca="true" t="shared" si="18" ref="AM26:AM39">F26*AE26</f>
        <v>584.6190000000012</v>
      </c>
      <c r="AN26" s="34">
        <f aca="true" t="shared" si="19" ref="AN26:AN39">F26*AF26</f>
        <v>30988.880999999998</v>
      </c>
      <c r="AO26" s="35" t="s">
        <v>294</v>
      </c>
      <c r="AP26" s="35" t="s">
        <v>310</v>
      </c>
      <c r="AQ26" s="26" t="s">
        <v>313</v>
      </c>
    </row>
    <row r="27" spans="1:43" ht="12.75">
      <c r="A27" s="4" t="s">
        <v>20</v>
      </c>
      <c r="B27" s="4"/>
      <c r="C27" s="4" t="s">
        <v>172</v>
      </c>
      <c r="D27" s="4" t="s">
        <v>205</v>
      </c>
      <c r="E27" s="4" t="s">
        <v>256</v>
      </c>
      <c r="F27" s="17">
        <v>97</v>
      </c>
      <c r="G27" s="17">
        <v>28.8</v>
      </c>
      <c r="H27" s="17">
        <f t="shared" si="10"/>
        <v>0</v>
      </c>
      <c r="I27" s="17">
        <f t="shared" si="11"/>
        <v>2793.6</v>
      </c>
      <c r="J27" s="17">
        <f t="shared" si="12"/>
        <v>2793.6</v>
      </c>
      <c r="K27" s="17">
        <v>0.017</v>
      </c>
      <c r="L27" s="17">
        <f t="shared" si="13"/>
        <v>1.649</v>
      </c>
      <c r="M27" s="29" t="s">
        <v>279</v>
      </c>
      <c r="N27" s="29" t="s">
        <v>8</v>
      </c>
      <c r="O27" s="17">
        <f t="shared" si="14"/>
        <v>0</v>
      </c>
      <c r="Z27" s="17">
        <f t="shared" si="15"/>
        <v>0</v>
      </c>
      <c r="AA27" s="17">
        <f t="shared" si="16"/>
        <v>0</v>
      </c>
      <c r="AB27" s="17">
        <f t="shared" si="17"/>
        <v>2793.6</v>
      </c>
      <c r="AD27" s="34">
        <v>21</v>
      </c>
      <c r="AE27" s="34">
        <f>G27*0</f>
        <v>0</v>
      </c>
      <c r="AF27" s="34">
        <f>G27*(1-0)</f>
        <v>28.8</v>
      </c>
      <c r="AM27" s="34">
        <f t="shared" si="18"/>
        <v>0</v>
      </c>
      <c r="AN27" s="34">
        <f t="shared" si="19"/>
        <v>2793.6</v>
      </c>
      <c r="AO27" s="35" t="s">
        <v>294</v>
      </c>
      <c r="AP27" s="35" t="s">
        <v>310</v>
      </c>
      <c r="AQ27" s="26" t="s">
        <v>313</v>
      </c>
    </row>
    <row r="28" spans="1:43" ht="12.75">
      <c r="A28" s="4" t="s">
        <v>21</v>
      </c>
      <c r="B28" s="4"/>
      <c r="C28" s="4" t="s">
        <v>173</v>
      </c>
      <c r="D28" s="4" t="s">
        <v>206</v>
      </c>
      <c r="E28" s="4" t="s">
        <v>257</v>
      </c>
      <c r="F28" s="17">
        <v>50.93</v>
      </c>
      <c r="G28" s="17">
        <v>155</v>
      </c>
      <c r="H28" s="17">
        <f t="shared" si="10"/>
        <v>0</v>
      </c>
      <c r="I28" s="17">
        <f t="shared" si="11"/>
        <v>7894.15</v>
      </c>
      <c r="J28" s="17">
        <f t="shared" si="12"/>
        <v>7894.15</v>
      </c>
      <c r="K28" s="17">
        <v>1.6</v>
      </c>
      <c r="L28" s="17">
        <f t="shared" si="13"/>
        <v>81.488</v>
      </c>
      <c r="M28" s="29" t="s">
        <v>280</v>
      </c>
      <c r="N28" s="29" t="s">
        <v>7</v>
      </c>
      <c r="O28" s="17">
        <f t="shared" si="14"/>
        <v>0</v>
      </c>
      <c r="Z28" s="17">
        <f t="shared" si="15"/>
        <v>0</v>
      </c>
      <c r="AA28" s="17">
        <f t="shared" si="16"/>
        <v>0</v>
      </c>
      <c r="AB28" s="17">
        <f t="shared" si="17"/>
        <v>7894.15</v>
      </c>
      <c r="AD28" s="34">
        <v>21</v>
      </c>
      <c r="AE28" s="34">
        <f>G28*0</f>
        <v>0</v>
      </c>
      <c r="AF28" s="34">
        <f>G28*(1-0)</f>
        <v>155</v>
      </c>
      <c r="AM28" s="34">
        <f t="shared" si="18"/>
        <v>0</v>
      </c>
      <c r="AN28" s="34">
        <f t="shared" si="19"/>
        <v>7894.15</v>
      </c>
      <c r="AO28" s="35" t="s">
        <v>294</v>
      </c>
      <c r="AP28" s="35" t="s">
        <v>310</v>
      </c>
      <c r="AQ28" s="26" t="s">
        <v>313</v>
      </c>
    </row>
    <row r="29" spans="1:43" ht="12.75">
      <c r="A29" s="4" t="s">
        <v>22</v>
      </c>
      <c r="B29" s="4"/>
      <c r="C29" s="4" t="s">
        <v>175</v>
      </c>
      <c r="D29" s="4" t="s">
        <v>208</v>
      </c>
      <c r="E29" s="4" t="s">
        <v>256</v>
      </c>
      <c r="F29" s="17">
        <v>103</v>
      </c>
      <c r="G29" s="17">
        <v>178.5</v>
      </c>
      <c r="H29" s="17">
        <f t="shared" si="10"/>
        <v>11725.51999999999</v>
      </c>
      <c r="I29" s="17">
        <f t="shared" si="11"/>
        <v>6659.9800000000105</v>
      </c>
      <c r="J29" s="17">
        <f t="shared" si="12"/>
        <v>18385.5</v>
      </c>
      <c r="K29" s="17">
        <v>0.14424</v>
      </c>
      <c r="L29" s="17">
        <f t="shared" si="13"/>
        <v>14.856720000000001</v>
      </c>
      <c r="M29" s="29" t="s">
        <v>279</v>
      </c>
      <c r="N29" s="29" t="s">
        <v>7</v>
      </c>
      <c r="O29" s="17">
        <f t="shared" si="14"/>
        <v>0</v>
      </c>
      <c r="Z29" s="17">
        <f t="shared" si="15"/>
        <v>0</v>
      </c>
      <c r="AA29" s="17">
        <f t="shared" si="16"/>
        <v>0</v>
      </c>
      <c r="AB29" s="17">
        <f t="shared" si="17"/>
        <v>18385.5</v>
      </c>
      <c r="AD29" s="34">
        <v>21</v>
      </c>
      <c r="AE29" s="34">
        <f>G29*0.637759103641456</f>
        <v>113.8399999999999</v>
      </c>
      <c r="AF29" s="34">
        <f>G29*(1-0.637759103641456)</f>
        <v>64.6600000000001</v>
      </c>
      <c r="AM29" s="34">
        <f t="shared" si="18"/>
        <v>11725.51999999999</v>
      </c>
      <c r="AN29" s="34">
        <f t="shared" si="19"/>
        <v>6659.98000000001</v>
      </c>
      <c r="AO29" s="35" t="s">
        <v>294</v>
      </c>
      <c r="AP29" s="35" t="s">
        <v>310</v>
      </c>
      <c r="AQ29" s="26" t="s">
        <v>313</v>
      </c>
    </row>
    <row r="30" spans="1:43" ht="12.75">
      <c r="A30" s="5" t="s">
        <v>23</v>
      </c>
      <c r="B30" s="5"/>
      <c r="C30" s="5" t="s">
        <v>176</v>
      </c>
      <c r="D30" s="5" t="s">
        <v>209</v>
      </c>
      <c r="E30" s="5" t="s">
        <v>258</v>
      </c>
      <c r="F30" s="18">
        <v>365</v>
      </c>
      <c r="G30" s="18">
        <v>14.6</v>
      </c>
      <c r="H30" s="18">
        <f t="shared" si="10"/>
        <v>5329</v>
      </c>
      <c r="I30" s="18">
        <f t="shared" si="11"/>
        <v>0</v>
      </c>
      <c r="J30" s="18">
        <f t="shared" si="12"/>
        <v>5329</v>
      </c>
      <c r="K30" s="18">
        <v>0.0052</v>
      </c>
      <c r="L30" s="18">
        <f t="shared" si="13"/>
        <v>1.898</v>
      </c>
      <c r="M30" s="30" t="s">
        <v>279</v>
      </c>
      <c r="N30" s="30" t="s">
        <v>282</v>
      </c>
      <c r="O30" s="18">
        <f t="shared" si="14"/>
        <v>0</v>
      </c>
      <c r="Z30" s="18">
        <f t="shared" si="15"/>
        <v>0</v>
      </c>
      <c r="AA30" s="18">
        <f t="shared" si="16"/>
        <v>0</v>
      </c>
      <c r="AB30" s="18">
        <f t="shared" si="17"/>
        <v>5329</v>
      </c>
      <c r="AD30" s="34">
        <v>21</v>
      </c>
      <c r="AE30" s="34">
        <f>G30*1</f>
        <v>14.6</v>
      </c>
      <c r="AF30" s="34">
        <f>G30*(1-1)</f>
        <v>0</v>
      </c>
      <c r="AM30" s="34">
        <f t="shared" si="18"/>
        <v>5329</v>
      </c>
      <c r="AN30" s="34">
        <f t="shared" si="19"/>
        <v>0</v>
      </c>
      <c r="AO30" s="35" t="s">
        <v>294</v>
      </c>
      <c r="AP30" s="35" t="s">
        <v>310</v>
      </c>
      <c r="AQ30" s="26" t="s">
        <v>313</v>
      </c>
    </row>
    <row r="31" spans="1:43" ht="12.75">
      <c r="A31" s="4" t="s">
        <v>24</v>
      </c>
      <c r="B31" s="4"/>
      <c r="C31" s="4" t="s">
        <v>184</v>
      </c>
      <c r="D31" s="4" t="s">
        <v>217</v>
      </c>
      <c r="E31" s="4" t="s">
        <v>256</v>
      </c>
      <c r="F31" s="17">
        <v>100</v>
      </c>
      <c r="G31" s="17">
        <v>59.6</v>
      </c>
      <c r="H31" s="17">
        <f t="shared" si="10"/>
        <v>3000.0000000000023</v>
      </c>
      <c r="I31" s="17">
        <f t="shared" si="11"/>
        <v>2959.9999999999977</v>
      </c>
      <c r="J31" s="17">
        <f t="shared" si="12"/>
        <v>5960</v>
      </c>
      <c r="K31" s="17">
        <v>0.001</v>
      </c>
      <c r="L31" s="17">
        <f t="shared" si="13"/>
        <v>0.1</v>
      </c>
      <c r="M31" s="29" t="s">
        <v>281</v>
      </c>
      <c r="N31" s="29" t="s">
        <v>7</v>
      </c>
      <c r="O31" s="17">
        <f t="shared" si="14"/>
        <v>0</v>
      </c>
      <c r="Z31" s="17">
        <f t="shared" si="15"/>
        <v>0</v>
      </c>
      <c r="AA31" s="17">
        <f t="shared" si="16"/>
        <v>0</v>
      </c>
      <c r="AB31" s="17">
        <f t="shared" si="17"/>
        <v>5960</v>
      </c>
      <c r="AD31" s="34">
        <v>21</v>
      </c>
      <c r="AE31" s="34">
        <f>G31*0.503355704697987</f>
        <v>30.000000000000025</v>
      </c>
      <c r="AF31" s="34">
        <f>G31*(1-0.503355704697987)</f>
        <v>29.599999999999977</v>
      </c>
      <c r="AM31" s="34">
        <f t="shared" si="18"/>
        <v>3000.0000000000023</v>
      </c>
      <c r="AN31" s="34">
        <f t="shared" si="19"/>
        <v>2959.9999999999977</v>
      </c>
      <c r="AO31" s="35" t="s">
        <v>294</v>
      </c>
      <c r="AP31" s="35" t="s">
        <v>310</v>
      </c>
      <c r="AQ31" s="26" t="s">
        <v>313</v>
      </c>
    </row>
    <row r="32" spans="1:43" ht="12.75">
      <c r="A32" s="4" t="s">
        <v>25</v>
      </c>
      <c r="B32" s="4"/>
      <c r="C32" s="4" t="s">
        <v>185</v>
      </c>
      <c r="D32" s="4" t="s">
        <v>218</v>
      </c>
      <c r="E32" s="4" t="s">
        <v>255</v>
      </c>
      <c r="F32" s="17">
        <v>232.8</v>
      </c>
      <c r="G32" s="17">
        <v>153.3</v>
      </c>
      <c r="H32" s="17">
        <f t="shared" si="10"/>
        <v>30499.12800000002</v>
      </c>
      <c r="I32" s="17">
        <f t="shared" si="11"/>
        <v>5189.111999999986</v>
      </c>
      <c r="J32" s="17">
        <f t="shared" si="12"/>
        <v>35688.240000000005</v>
      </c>
      <c r="K32" s="17">
        <v>0.38625</v>
      </c>
      <c r="L32" s="17">
        <f t="shared" si="13"/>
        <v>89.919</v>
      </c>
      <c r="M32" s="29" t="s">
        <v>280</v>
      </c>
      <c r="N32" s="29" t="s">
        <v>7</v>
      </c>
      <c r="O32" s="17">
        <f t="shared" si="14"/>
        <v>0</v>
      </c>
      <c r="Z32" s="17">
        <f t="shared" si="15"/>
        <v>0</v>
      </c>
      <c r="AA32" s="17">
        <f t="shared" si="16"/>
        <v>0</v>
      </c>
      <c r="AB32" s="17">
        <f t="shared" si="17"/>
        <v>35688.240000000005</v>
      </c>
      <c r="AD32" s="34">
        <v>21</v>
      </c>
      <c r="AE32" s="34">
        <f>G32*0.854598825831703</f>
        <v>131.01000000000008</v>
      </c>
      <c r="AF32" s="34">
        <f>G32*(1-0.854598825831703)</f>
        <v>22.28999999999993</v>
      </c>
      <c r="AM32" s="34">
        <f t="shared" si="18"/>
        <v>30499.12800000002</v>
      </c>
      <c r="AN32" s="34">
        <f t="shared" si="19"/>
        <v>5189.111999999985</v>
      </c>
      <c r="AO32" s="35" t="s">
        <v>294</v>
      </c>
      <c r="AP32" s="35" t="s">
        <v>310</v>
      </c>
      <c r="AQ32" s="26" t="s">
        <v>313</v>
      </c>
    </row>
    <row r="33" spans="1:43" ht="12.75">
      <c r="A33" s="4" t="s">
        <v>26</v>
      </c>
      <c r="B33" s="4"/>
      <c r="C33" s="4" t="s">
        <v>186</v>
      </c>
      <c r="D33" s="4" t="s">
        <v>219</v>
      </c>
      <c r="E33" s="4" t="s">
        <v>255</v>
      </c>
      <c r="F33" s="17">
        <v>203.7</v>
      </c>
      <c r="G33" s="17">
        <v>86.5</v>
      </c>
      <c r="H33" s="17">
        <f t="shared" si="10"/>
        <v>14285.480999999996</v>
      </c>
      <c r="I33" s="17">
        <f t="shared" si="11"/>
        <v>3334.569000000003</v>
      </c>
      <c r="J33" s="17">
        <f t="shared" si="12"/>
        <v>17620.05</v>
      </c>
      <c r="K33" s="17">
        <v>0.18907</v>
      </c>
      <c r="L33" s="17">
        <f t="shared" si="13"/>
        <v>38.513558999999994</v>
      </c>
      <c r="M33" s="29" t="s">
        <v>279</v>
      </c>
      <c r="N33" s="29" t="s">
        <v>7</v>
      </c>
      <c r="O33" s="17">
        <f t="shared" si="14"/>
        <v>0</v>
      </c>
      <c r="Z33" s="17">
        <f t="shared" si="15"/>
        <v>0</v>
      </c>
      <c r="AA33" s="17">
        <f t="shared" si="16"/>
        <v>0</v>
      </c>
      <c r="AB33" s="17">
        <f t="shared" si="17"/>
        <v>17620.05</v>
      </c>
      <c r="AD33" s="34">
        <v>21</v>
      </c>
      <c r="AE33" s="34">
        <f>G33*0.810751445086705</f>
        <v>70.12999999999998</v>
      </c>
      <c r="AF33" s="34">
        <f>G33*(1-0.810751445086705)</f>
        <v>16.37000000000001</v>
      </c>
      <c r="AM33" s="34">
        <f t="shared" si="18"/>
        <v>14285.480999999996</v>
      </c>
      <c r="AN33" s="34">
        <f t="shared" si="19"/>
        <v>3334.5690000000022</v>
      </c>
      <c r="AO33" s="35" t="s">
        <v>294</v>
      </c>
      <c r="AP33" s="35" t="s">
        <v>310</v>
      </c>
      <c r="AQ33" s="26" t="s">
        <v>313</v>
      </c>
    </row>
    <row r="34" spans="1:43" ht="12.75">
      <c r="A34" s="4" t="s">
        <v>27</v>
      </c>
      <c r="B34" s="4"/>
      <c r="C34" s="4" t="s">
        <v>177</v>
      </c>
      <c r="D34" s="4" t="s">
        <v>210</v>
      </c>
      <c r="E34" s="4" t="s">
        <v>259</v>
      </c>
      <c r="F34" s="17">
        <v>2.25</v>
      </c>
      <c r="G34" s="17">
        <v>28750</v>
      </c>
      <c r="H34" s="17">
        <f t="shared" si="10"/>
        <v>54359.95500000003</v>
      </c>
      <c r="I34" s="17">
        <f t="shared" si="11"/>
        <v>10327.54499999997</v>
      </c>
      <c r="J34" s="17">
        <f t="shared" si="12"/>
        <v>64687.5</v>
      </c>
      <c r="K34" s="17">
        <v>1.06625</v>
      </c>
      <c r="L34" s="17">
        <f t="shared" si="13"/>
        <v>2.3990625</v>
      </c>
      <c r="M34" s="29" t="s">
        <v>279</v>
      </c>
      <c r="N34" s="29" t="s">
        <v>7</v>
      </c>
      <c r="O34" s="17">
        <f t="shared" si="14"/>
        <v>0</v>
      </c>
      <c r="Z34" s="17">
        <f t="shared" si="15"/>
        <v>0</v>
      </c>
      <c r="AA34" s="17">
        <f t="shared" si="16"/>
        <v>0</v>
      </c>
      <c r="AB34" s="17">
        <f t="shared" si="17"/>
        <v>64687.5</v>
      </c>
      <c r="AD34" s="34">
        <v>21</v>
      </c>
      <c r="AE34" s="34">
        <f>G34*0.840347130434783</f>
        <v>24159.980000000014</v>
      </c>
      <c r="AF34" s="34">
        <f>G34*(1-0.840347130434783)</f>
        <v>4590.019999999988</v>
      </c>
      <c r="AM34" s="34">
        <f t="shared" si="18"/>
        <v>54359.95500000003</v>
      </c>
      <c r="AN34" s="34">
        <f t="shared" si="19"/>
        <v>10327.544999999973</v>
      </c>
      <c r="AO34" s="35" t="s">
        <v>294</v>
      </c>
      <c r="AP34" s="35" t="s">
        <v>310</v>
      </c>
      <c r="AQ34" s="26" t="s">
        <v>313</v>
      </c>
    </row>
    <row r="35" spans="1:43" ht="12.75">
      <c r="A35" s="4" t="s">
        <v>28</v>
      </c>
      <c r="B35" s="4"/>
      <c r="C35" s="4" t="s">
        <v>178</v>
      </c>
      <c r="D35" s="4" t="s">
        <v>220</v>
      </c>
      <c r="E35" s="4" t="s">
        <v>257</v>
      </c>
      <c r="F35" s="17">
        <v>30.56</v>
      </c>
      <c r="G35" s="17">
        <v>2890</v>
      </c>
      <c r="H35" s="17">
        <f t="shared" si="10"/>
        <v>73166.75200000005</v>
      </c>
      <c r="I35" s="17">
        <f t="shared" si="11"/>
        <v>15151.647999999943</v>
      </c>
      <c r="J35" s="17">
        <f t="shared" si="12"/>
        <v>88318.4</v>
      </c>
      <c r="K35" s="17">
        <v>2.545</v>
      </c>
      <c r="L35" s="17">
        <f t="shared" si="13"/>
        <v>77.7752</v>
      </c>
      <c r="M35" s="29" t="s">
        <v>279</v>
      </c>
      <c r="N35" s="29" t="s">
        <v>7</v>
      </c>
      <c r="O35" s="17">
        <f t="shared" si="14"/>
        <v>0</v>
      </c>
      <c r="Z35" s="17">
        <f t="shared" si="15"/>
        <v>0</v>
      </c>
      <c r="AA35" s="17">
        <f t="shared" si="16"/>
        <v>0</v>
      </c>
      <c r="AB35" s="17">
        <f t="shared" si="17"/>
        <v>88318.4</v>
      </c>
      <c r="AD35" s="34">
        <v>21</v>
      </c>
      <c r="AE35" s="34">
        <f>G35*0.828442906574395</f>
        <v>2394.2000000000016</v>
      </c>
      <c r="AF35" s="34">
        <f>G35*(1-0.828442906574395)</f>
        <v>495.7999999999984</v>
      </c>
      <c r="AM35" s="34">
        <f t="shared" si="18"/>
        <v>73166.75200000005</v>
      </c>
      <c r="AN35" s="34">
        <f t="shared" si="19"/>
        <v>15151.647999999952</v>
      </c>
      <c r="AO35" s="35" t="s">
        <v>294</v>
      </c>
      <c r="AP35" s="35" t="s">
        <v>310</v>
      </c>
      <c r="AQ35" s="26" t="s">
        <v>313</v>
      </c>
    </row>
    <row r="36" spans="1:43" ht="12.75">
      <c r="A36" s="4" t="s">
        <v>29</v>
      </c>
      <c r="B36" s="4"/>
      <c r="C36" s="4" t="s">
        <v>179</v>
      </c>
      <c r="D36" s="4" t="s">
        <v>221</v>
      </c>
      <c r="E36" s="4" t="s">
        <v>257</v>
      </c>
      <c r="F36" s="17">
        <v>30.56</v>
      </c>
      <c r="G36" s="17">
        <v>515.35</v>
      </c>
      <c r="H36" s="17">
        <f t="shared" si="10"/>
        <v>1906.027200000002</v>
      </c>
      <c r="I36" s="17">
        <f t="shared" si="11"/>
        <v>13843.068799999997</v>
      </c>
      <c r="J36" s="17">
        <f t="shared" si="12"/>
        <v>15749.096</v>
      </c>
      <c r="K36" s="17">
        <v>0.02</v>
      </c>
      <c r="L36" s="17">
        <f t="shared" si="13"/>
        <v>0.6112</v>
      </c>
      <c r="M36" s="29" t="s">
        <v>279</v>
      </c>
      <c r="N36" s="29" t="s">
        <v>7</v>
      </c>
      <c r="O36" s="17">
        <f t="shared" si="14"/>
        <v>0</v>
      </c>
      <c r="Z36" s="17">
        <f t="shared" si="15"/>
        <v>0</v>
      </c>
      <c r="AA36" s="17">
        <f t="shared" si="16"/>
        <v>0</v>
      </c>
      <c r="AB36" s="17">
        <f t="shared" si="17"/>
        <v>15749.096</v>
      </c>
      <c r="AD36" s="34">
        <v>21</v>
      </c>
      <c r="AE36" s="34">
        <f>G36*0.12102454642476</f>
        <v>62.37000000000007</v>
      </c>
      <c r="AF36" s="34">
        <f>G36*(1-0.12102454642476)</f>
        <v>452.97999999999996</v>
      </c>
      <c r="AM36" s="34">
        <f t="shared" si="18"/>
        <v>1906.027200000002</v>
      </c>
      <c r="AN36" s="34">
        <f t="shared" si="19"/>
        <v>13843.0688</v>
      </c>
      <c r="AO36" s="35" t="s">
        <v>294</v>
      </c>
      <c r="AP36" s="35" t="s">
        <v>310</v>
      </c>
      <c r="AQ36" s="26" t="s">
        <v>313</v>
      </c>
    </row>
    <row r="37" spans="1:43" ht="12.75">
      <c r="A37" s="4" t="s">
        <v>30</v>
      </c>
      <c r="B37" s="4"/>
      <c r="C37" s="4" t="s">
        <v>180</v>
      </c>
      <c r="D37" s="4" t="s">
        <v>213</v>
      </c>
      <c r="E37" s="4" t="s">
        <v>255</v>
      </c>
      <c r="F37" s="17">
        <v>203.7</v>
      </c>
      <c r="G37" s="17">
        <v>185</v>
      </c>
      <c r="H37" s="17">
        <f t="shared" si="10"/>
        <v>26291.55900000001</v>
      </c>
      <c r="I37" s="17">
        <f t="shared" si="11"/>
        <v>11392.940999999992</v>
      </c>
      <c r="J37" s="17">
        <f t="shared" si="12"/>
        <v>37684.5</v>
      </c>
      <c r="K37" s="17">
        <v>0.0002</v>
      </c>
      <c r="L37" s="17">
        <f t="shared" si="13"/>
        <v>0.04074</v>
      </c>
      <c r="M37" s="29" t="s">
        <v>280</v>
      </c>
      <c r="N37" s="29" t="s">
        <v>7</v>
      </c>
      <c r="O37" s="17">
        <f t="shared" si="14"/>
        <v>0</v>
      </c>
      <c r="Z37" s="17">
        <f t="shared" si="15"/>
        <v>0</v>
      </c>
      <c r="AA37" s="17">
        <f t="shared" si="16"/>
        <v>0</v>
      </c>
      <c r="AB37" s="17">
        <f t="shared" si="17"/>
        <v>37684.5</v>
      </c>
      <c r="AD37" s="34">
        <v>21</v>
      </c>
      <c r="AE37" s="34">
        <f>G37*0.697675675675676</f>
        <v>129.07000000000005</v>
      </c>
      <c r="AF37" s="34">
        <f>G37*(1-0.697675675675676)</f>
        <v>55.929999999999936</v>
      </c>
      <c r="AM37" s="34">
        <f t="shared" si="18"/>
        <v>26291.55900000001</v>
      </c>
      <c r="AN37" s="34">
        <f t="shared" si="19"/>
        <v>11392.940999999986</v>
      </c>
      <c r="AO37" s="35" t="s">
        <v>294</v>
      </c>
      <c r="AP37" s="35" t="s">
        <v>310</v>
      </c>
      <c r="AQ37" s="26" t="s">
        <v>313</v>
      </c>
    </row>
    <row r="38" spans="1:43" ht="12.75">
      <c r="A38" s="4" t="s">
        <v>31</v>
      </c>
      <c r="B38" s="4"/>
      <c r="C38" s="4" t="s">
        <v>181</v>
      </c>
      <c r="D38" s="4" t="s">
        <v>214</v>
      </c>
      <c r="E38" s="4" t="s">
        <v>259</v>
      </c>
      <c r="F38" s="17">
        <v>46.46</v>
      </c>
      <c r="G38" s="17">
        <v>530</v>
      </c>
      <c r="H38" s="17">
        <f t="shared" si="10"/>
        <v>0</v>
      </c>
      <c r="I38" s="17">
        <f t="shared" si="11"/>
        <v>24623.8</v>
      </c>
      <c r="J38" s="17">
        <f t="shared" si="12"/>
        <v>24623.8</v>
      </c>
      <c r="K38" s="17">
        <v>0</v>
      </c>
      <c r="L38" s="17">
        <f t="shared" si="13"/>
        <v>0</v>
      </c>
      <c r="M38" s="29" t="s">
        <v>280</v>
      </c>
      <c r="N38" s="29" t="s">
        <v>11</v>
      </c>
      <c r="O38" s="17">
        <f t="shared" si="14"/>
        <v>24623.8</v>
      </c>
      <c r="Z38" s="17">
        <f t="shared" si="15"/>
        <v>0</v>
      </c>
      <c r="AA38" s="17">
        <f t="shared" si="16"/>
        <v>0</v>
      </c>
      <c r="AB38" s="17">
        <f t="shared" si="17"/>
        <v>24623.8</v>
      </c>
      <c r="AD38" s="34">
        <v>21</v>
      </c>
      <c r="AE38" s="34">
        <f>G38*0</f>
        <v>0</v>
      </c>
      <c r="AF38" s="34">
        <f>G38*(1-0)</f>
        <v>530</v>
      </c>
      <c r="AM38" s="34">
        <f t="shared" si="18"/>
        <v>0</v>
      </c>
      <c r="AN38" s="34">
        <f t="shared" si="19"/>
        <v>24623.8</v>
      </c>
      <c r="AO38" s="35" t="s">
        <v>294</v>
      </c>
      <c r="AP38" s="35" t="s">
        <v>310</v>
      </c>
      <c r="AQ38" s="26" t="s">
        <v>313</v>
      </c>
    </row>
    <row r="39" spans="1:43" ht="12.75">
      <c r="A39" s="4" t="s">
        <v>32</v>
      </c>
      <c r="B39" s="4"/>
      <c r="C39" s="4" t="s">
        <v>182</v>
      </c>
      <c r="D39" s="4" t="s">
        <v>215</v>
      </c>
      <c r="E39" s="4" t="s">
        <v>259</v>
      </c>
      <c r="F39" s="17">
        <v>307.6</v>
      </c>
      <c r="G39" s="17">
        <v>50.6</v>
      </c>
      <c r="H39" s="17">
        <f t="shared" si="10"/>
        <v>0</v>
      </c>
      <c r="I39" s="17">
        <f t="shared" si="11"/>
        <v>15564.560000000001</v>
      </c>
      <c r="J39" s="17">
        <f t="shared" si="12"/>
        <v>15564.560000000001</v>
      </c>
      <c r="K39" s="17">
        <v>0</v>
      </c>
      <c r="L39" s="17">
        <f t="shared" si="13"/>
        <v>0</v>
      </c>
      <c r="M39" s="29" t="s">
        <v>281</v>
      </c>
      <c r="N39" s="29" t="s">
        <v>11</v>
      </c>
      <c r="O39" s="17">
        <f t="shared" si="14"/>
        <v>15564.560000000001</v>
      </c>
      <c r="Z39" s="17">
        <f t="shared" si="15"/>
        <v>0</v>
      </c>
      <c r="AA39" s="17">
        <f t="shared" si="16"/>
        <v>0</v>
      </c>
      <c r="AB39" s="17">
        <f t="shared" si="17"/>
        <v>15564.560000000001</v>
      </c>
      <c r="AD39" s="34">
        <v>21</v>
      </c>
      <c r="AE39" s="34">
        <f>G39*0</f>
        <v>0</v>
      </c>
      <c r="AF39" s="34">
        <f>G39*(1-0)</f>
        <v>50.6</v>
      </c>
      <c r="AM39" s="34">
        <f t="shared" si="18"/>
        <v>0</v>
      </c>
      <c r="AN39" s="34">
        <f t="shared" si="19"/>
        <v>15564.560000000001</v>
      </c>
      <c r="AO39" s="35" t="s">
        <v>294</v>
      </c>
      <c r="AP39" s="35" t="s">
        <v>310</v>
      </c>
      <c r="AQ39" s="26" t="s">
        <v>313</v>
      </c>
    </row>
    <row r="40" spans="1:37" ht="12.75">
      <c r="A40" s="6"/>
      <c r="B40" s="13"/>
      <c r="C40" s="13" t="s">
        <v>187</v>
      </c>
      <c r="D40" s="72" t="s">
        <v>222</v>
      </c>
      <c r="E40" s="73"/>
      <c r="F40" s="73"/>
      <c r="G40" s="73"/>
      <c r="H40" s="37">
        <f>SUM(H41:H52)</f>
        <v>37286.8765</v>
      </c>
      <c r="I40" s="37">
        <f>SUM(I41:I52)</f>
        <v>36628.195999999996</v>
      </c>
      <c r="J40" s="37">
        <f>H40+I40</f>
        <v>73915.0725</v>
      </c>
      <c r="K40" s="26"/>
      <c r="L40" s="37">
        <f>SUM(L41:L52)</f>
        <v>66.5341415</v>
      </c>
      <c r="M40" s="26"/>
      <c r="P40" s="37">
        <f>IF(Q40="PR",J40,SUM(O41:O52))</f>
        <v>14565.202</v>
      </c>
      <c r="Q40" s="26" t="s">
        <v>285</v>
      </c>
      <c r="R40" s="37">
        <f>IF(Q40="HS",H40,0)</f>
        <v>37286.8765</v>
      </c>
      <c r="S40" s="37">
        <f>IF(Q40="HS",I40-P40,0)</f>
        <v>22062.994</v>
      </c>
      <c r="T40" s="37">
        <f>IF(Q40="PS",H40,0)</f>
        <v>0</v>
      </c>
      <c r="U40" s="37">
        <f>IF(Q40="PS",I40-P40,0)</f>
        <v>0</v>
      </c>
      <c r="V40" s="37">
        <f>IF(Q40="MP",H40,0)</f>
        <v>0</v>
      </c>
      <c r="W40" s="37">
        <f>IF(Q40="MP",I40-P40,0)</f>
        <v>0</v>
      </c>
      <c r="X40" s="37">
        <f>IF(Q40="OM",H40,0)</f>
        <v>0</v>
      </c>
      <c r="Y40" s="26"/>
      <c r="AI40" s="37">
        <f>SUM(Z41:Z52)</f>
        <v>0</v>
      </c>
      <c r="AJ40" s="37">
        <f>SUM(AA41:AA52)</f>
        <v>0</v>
      </c>
      <c r="AK40" s="37">
        <f>SUM(AB41:AB52)</f>
        <v>73915.0725</v>
      </c>
    </row>
    <row r="41" spans="1:43" ht="12.75">
      <c r="A41" s="4" t="s">
        <v>33</v>
      </c>
      <c r="B41" s="4"/>
      <c r="C41" s="4" t="s">
        <v>171</v>
      </c>
      <c r="D41" s="4" t="s">
        <v>204</v>
      </c>
      <c r="E41" s="4" t="s">
        <v>255</v>
      </c>
      <c r="F41" s="17">
        <v>42.6</v>
      </c>
      <c r="G41" s="17">
        <v>155</v>
      </c>
      <c r="H41" s="17">
        <f aca="true" t="shared" si="20" ref="H41:H52">F41*AE41</f>
        <v>122.26200000000026</v>
      </c>
      <c r="I41" s="17">
        <f aca="true" t="shared" si="21" ref="I41:I52">J41-H41</f>
        <v>6480.737999999999</v>
      </c>
      <c r="J41" s="17">
        <f aca="true" t="shared" si="22" ref="J41:J52">F41*G41</f>
        <v>6603</v>
      </c>
      <c r="K41" s="17">
        <v>0.52</v>
      </c>
      <c r="L41" s="17">
        <f aca="true" t="shared" si="23" ref="L41:L52">F41*K41</f>
        <v>22.152</v>
      </c>
      <c r="M41" s="29" t="s">
        <v>279</v>
      </c>
      <c r="N41" s="29" t="s">
        <v>9</v>
      </c>
      <c r="O41" s="17">
        <f aca="true" t="shared" si="24" ref="O41:O52">IF(N41="5",I41,0)</f>
        <v>0</v>
      </c>
      <c r="Z41" s="17">
        <f aca="true" t="shared" si="25" ref="Z41:Z52">IF(AD41=0,J41,0)</f>
        <v>0</v>
      </c>
      <c r="AA41" s="17">
        <f aca="true" t="shared" si="26" ref="AA41:AA52">IF(AD41=15,J41,0)</f>
        <v>0</v>
      </c>
      <c r="AB41" s="17">
        <f aca="true" t="shared" si="27" ref="AB41:AB52">IF(AD41=21,J41,0)</f>
        <v>6603</v>
      </c>
      <c r="AD41" s="34">
        <v>21</v>
      </c>
      <c r="AE41" s="34">
        <f>G41*0.0185161290322581</f>
        <v>2.870000000000006</v>
      </c>
      <c r="AF41" s="34">
        <f>G41*(1-0.0185161290322581)</f>
        <v>152.13</v>
      </c>
      <c r="AM41" s="34">
        <f aca="true" t="shared" si="28" ref="AM41:AM52">F41*AE41</f>
        <v>122.26200000000026</v>
      </c>
      <c r="AN41" s="34">
        <f aca="true" t="shared" si="29" ref="AN41:AN52">F41*AF41</f>
        <v>6480.738</v>
      </c>
      <c r="AO41" s="35" t="s">
        <v>295</v>
      </c>
      <c r="AP41" s="35" t="s">
        <v>310</v>
      </c>
      <c r="AQ41" s="26" t="s">
        <v>313</v>
      </c>
    </row>
    <row r="42" spans="1:43" ht="12.75">
      <c r="A42" s="4" t="s">
        <v>34</v>
      </c>
      <c r="B42" s="4"/>
      <c r="C42" s="4" t="s">
        <v>172</v>
      </c>
      <c r="D42" s="4" t="s">
        <v>205</v>
      </c>
      <c r="E42" s="4" t="s">
        <v>256</v>
      </c>
      <c r="F42" s="17">
        <v>71</v>
      </c>
      <c r="G42" s="17">
        <v>28.8</v>
      </c>
      <c r="H42" s="17">
        <f t="shared" si="20"/>
        <v>0</v>
      </c>
      <c r="I42" s="17">
        <f t="shared" si="21"/>
        <v>2044.8</v>
      </c>
      <c r="J42" s="17">
        <f t="shared" si="22"/>
        <v>2044.8</v>
      </c>
      <c r="K42" s="17">
        <v>0.017</v>
      </c>
      <c r="L42" s="17">
        <f t="shared" si="23"/>
        <v>1.207</v>
      </c>
      <c r="M42" s="29" t="s">
        <v>279</v>
      </c>
      <c r="N42" s="29" t="s">
        <v>8</v>
      </c>
      <c r="O42" s="17">
        <f t="shared" si="24"/>
        <v>0</v>
      </c>
      <c r="Z42" s="17">
        <f t="shared" si="25"/>
        <v>0</v>
      </c>
      <c r="AA42" s="17">
        <f t="shared" si="26"/>
        <v>0</v>
      </c>
      <c r="AB42" s="17">
        <f t="shared" si="27"/>
        <v>2044.8</v>
      </c>
      <c r="AD42" s="34">
        <v>21</v>
      </c>
      <c r="AE42" s="34">
        <f>G42*0</f>
        <v>0</v>
      </c>
      <c r="AF42" s="34">
        <f>G42*(1-0)</f>
        <v>28.8</v>
      </c>
      <c r="AM42" s="34">
        <f t="shared" si="28"/>
        <v>0</v>
      </c>
      <c r="AN42" s="34">
        <f t="shared" si="29"/>
        <v>2044.8</v>
      </c>
      <c r="AO42" s="35" t="s">
        <v>295</v>
      </c>
      <c r="AP42" s="35" t="s">
        <v>310</v>
      </c>
      <c r="AQ42" s="26" t="s">
        <v>313</v>
      </c>
    </row>
    <row r="43" spans="1:43" ht="12.75">
      <c r="A43" s="4" t="s">
        <v>35</v>
      </c>
      <c r="B43" s="4"/>
      <c r="C43" s="4" t="s">
        <v>173</v>
      </c>
      <c r="D43" s="4" t="s">
        <v>206</v>
      </c>
      <c r="E43" s="4" t="s">
        <v>257</v>
      </c>
      <c r="F43" s="17">
        <v>5.33</v>
      </c>
      <c r="G43" s="17">
        <v>155</v>
      </c>
      <c r="H43" s="17">
        <f t="shared" si="20"/>
        <v>0</v>
      </c>
      <c r="I43" s="17">
        <f t="shared" si="21"/>
        <v>826.15</v>
      </c>
      <c r="J43" s="17">
        <f t="shared" si="22"/>
        <v>826.15</v>
      </c>
      <c r="K43" s="17">
        <v>1.6</v>
      </c>
      <c r="L43" s="17">
        <f t="shared" si="23"/>
        <v>8.528</v>
      </c>
      <c r="M43" s="29" t="s">
        <v>280</v>
      </c>
      <c r="N43" s="29" t="s">
        <v>7</v>
      </c>
      <c r="O43" s="17">
        <f t="shared" si="24"/>
        <v>0</v>
      </c>
      <c r="Z43" s="17">
        <f t="shared" si="25"/>
        <v>0</v>
      </c>
      <c r="AA43" s="17">
        <f t="shared" si="26"/>
        <v>0</v>
      </c>
      <c r="AB43" s="17">
        <f t="shared" si="27"/>
        <v>826.15</v>
      </c>
      <c r="AD43" s="34">
        <v>21</v>
      </c>
      <c r="AE43" s="34">
        <f>G43*0</f>
        <v>0</v>
      </c>
      <c r="AF43" s="34">
        <f>G43*(1-0)</f>
        <v>155</v>
      </c>
      <c r="AM43" s="34">
        <f t="shared" si="28"/>
        <v>0</v>
      </c>
      <c r="AN43" s="34">
        <f t="shared" si="29"/>
        <v>826.15</v>
      </c>
      <c r="AO43" s="35" t="s">
        <v>295</v>
      </c>
      <c r="AP43" s="35" t="s">
        <v>310</v>
      </c>
      <c r="AQ43" s="26" t="s">
        <v>313</v>
      </c>
    </row>
    <row r="44" spans="1:43" ht="12.75">
      <c r="A44" s="4" t="s">
        <v>36</v>
      </c>
      <c r="B44" s="4"/>
      <c r="C44" s="4" t="s">
        <v>174</v>
      </c>
      <c r="D44" s="4" t="s">
        <v>207</v>
      </c>
      <c r="E44" s="4" t="s">
        <v>255</v>
      </c>
      <c r="F44" s="17">
        <v>42.6</v>
      </c>
      <c r="G44" s="17">
        <v>109.2</v>
      </c>
      <c r="H44" s="17">
        <f t="shared" si="20"/>
        <v>3923.885999999998</v>
      </c>
      <c r="I44" s="17">
        <f t="shared" si="21"/>
        <v>728.0340000000019</v>
      </c>
      <c r="J44" s="17">
        <f t="shared" si="22"/>
        <v>4651.92</v>
      </c>
      <c r="K44" s="17">
        <v>0.27994</v>
      </c>
      <c r="L44" s="17">
        <f t="shared" si="23"/>
        <v>11.925444</v>
      </c>
      <c r="M44" s="29" t="s">
        <v>280</v>
      </c>
      <c r="N44" s="29" t="s">
        <v>7</v>
      </c>
      <c r="O44" s="17">
        <f t="shared" si="24"/>
        <v>0</v>
      </c>
      <c r="Z44" s="17">
        <f t="shared" si="25"/>
        <v>0</v>
      </c>
      <c r="AA44" s="17">
        <f t="shared" si="26"/>
        <v>0</v>
      </c>
      <c r="AB44" s="17">
        <f t="shared" si="27"/>
        <v>4651.92</v>
      </c>
      <c r="AD44" s="34">
        <v>21</v>
      </c>
      <c r="AE44" s="34">
        <f>G44*0.843498168498168</f>
        <v>92.10999999999996</v>
      </c>
      <c r="AF44" s="34">
        <f>G44*(1-0.843498168498168)</f>
        <v>17.09000000000005</v>
      </c>
      <c r="AM44" s="34">
        <f t="shared" si="28"/>
        <v>3923.885999999998</v>
      </c>
      <c r="AN44" s="34">
        <f t="shared" si="29"/>
        <v>728.0340000000022</v>
      </c>
      <c r="AO44" s="35" t="s">
        <v>295</v>
      </c>
      <c r="AP44" s="35" t="s">
        <v>310</v>
      </c>
      <c r="AQ44" s="26" t="s">
        <v>313</v>
      </c>
    </row>
    <row r="45" spans="1:43" ht="12.75">
      <c r="A45" s="4" t="s">
        <v>37</v>
      </c>
      <c r="B45" s="4"/>
      <c r="C45" s="4" t="s">
        <v>175</v>
      </c>
      <c r="D45" s="4" t="s">
        <v>208</v>
      </c>
      <c r="E45" s="4" t="s">
        <v>256</v>
      </c>
      <c r="F45" s="17">
        <v>71</v>
      </c>
      <c r="G45" s="17">
        <v>178.5</v>
      </c>
      <c r="H45" s="17">
        <f t="shared" si="20"/>
        <v>8082.639999999993</v>
      </c>
      <c r="I45" s="17">
        <f t="shared" si="21"/>
        <v>4590.860000000007</v>
      </c>
      <c r="J45" s="17">
        <f t="shared" si="22"/>
        <v>12673.5</v>
      </c>
      <c r="K45" s="17">
        <v>0.14424</v>
      </c>
      <c r="L45" s="17">
        <f t="shared" si="23"/>
        <v>10.24104</v>
      </c>
      <c r="M45" s="29" t="s">
        <v>279</v>
      </c>
      <c r="N45" s="29" t="s">
        <v>7</v>
      </c>
      <c r="O45" s="17">
        <f t="shared" si="24"/>
        <v>0</v>
      </c>
      <c r="Z45" s="17">
        <f t="shared" si="25"/>
        <v>0</v>
      </c>
      <c r="AA45" s="17">
        <f t="shared" si="26"/>
        <v>0</v>
      </c>
      <c r="AB45" s="17">
        <f t="shared" si="27"/>
        <v>12673.5</v>
      </c>
      <c r="AD45" s="34">
        <v>21</v>
      </c>
      <c r="AE45" s="34">
        <f>G45*0.637759103641456</f>
        <v>113.8399999999999</v>
      </c>
      <c r="AF45" s="34">
        <f>G45*(1-0.637759103641456)</f>
        <v>64.6600000000001</v>
      </c>
      <c r="AM45" s="34">
        <f t="shared" si="28"/>
        <v>8082.639999999993</v>
      </c>
      <c r="AN45" s="34">
        <f t="shared" si="29"/>
        <v>4590.860000000007</v>
      </c>
      <c r="AO45" s="35" t="s">
        <v>295</v>
      </c>
      <c r="AP45" s="35" t="s">
        <v>310</v>
      </c>
      <c r="AQ45" s="26" t="s">
        <v>313</v>
      </c>
    </row>
    <row r="46" spans="1:43" ht="12.75">
      <c r="A46" s="5" t="s">
        <v>38</v>
      </c>
      <c r="B46" s="5"/>
      <c r="C46" s="5" t="s">
        <v>176</v>
      </c>
      <c r="D46" s="5" t="s">
        <v>209</v>
      </c>
      <c r="E46" s="5" t="s">
        <v>258</v>
      </c>
      <c r="F46" s="18">
        <v>250</v>
      </c>
      <c r="G46" s="18">
        <v>14.6</v>
      </c>
      <c r="H46" s="18">
        <f t="shared" si="20"/>
        <v>3650</v>
      </c>
      <c r="I46" s="18">
        <f t="shared" si="21"/>
        <v>0</v>
      </c>
      <c r="J46" s="18">
        <f t="shared" si="22"/>
        <v>3650</v>
      </c>
      <c r="K46" s="18">
        <v>0.0052</v>
      </c>
      <c r="L46" s="18">
        <f t="shared" si="23"/>
        <v>1.3</v>
      </c>
      <c r="M46" s="30" t="s">
        <v>279</v>
      </c>
      <c r="N46" s="30" t="s">
        <v>282</v>
      </c>
      <c r="O46" s="18">
        <f t="shared" si="24"/>
        <v>0</v>
      </c>
      <c r="Z46" s="18">
        <f t="shared" si="25"/>
        <v>0</v>
      </c>
      <c r="AA46" s="18">
        <f t="shared" si="26"/>
        <v>0</v>
      </c>
      <c r="AB46" s="18">
        <f t="shared" si="27"/>
        <v>3650</v>
      </c>
      <c r="AD46" s="34">
        <v>21</v>
      </c>
      <c r="AE46" s="34">
        <f>G46*1</f>
        <v>14.6</v>
      </c>
      <c r="AF46" s="34">
        <f>G46*(1-1)</f>
        <v>0</v>
      </c>
      <c r="AM46" s="34">
        <f t="shared" si="28"/>
        <v>3650</v>
      </c>
      <c r="AN46" s="34">
        <f t="shared" si="29"/>
        <v>0</v>
      </c>
      <c r="AO46" s="35" t="s">
        <v>295</v>
      </c>
      <c r="AP46" s="35" t="s">
        <v>310</v>
      </c>
      <c r="AQ46" s="26" t="s">
        <v>313</v>
      </c>
    </row>
    <row r="47" spans="1:43" ht="12.75">
      <c r="A47" s="4" t="s">
        <v>39</v>
      </c>
      <c r="B47" s="4"/>
      <c r="C47" s="4" t="s">
        <v>177</v>
      </c>
      <c r="D47" s="4" t="s">
        <v>210</v>
      </c>
      <c r="E47" s="4" t="s">
        <v>259</v>
      </c>
      <c r="F47" s="17">
        <v>0.23</v>
      </c>
      <c r="G47" s="17">
        <v>28750</v>
      </c>
      <c r="H47" s="17">
        <f t="shared" si="20"/>
        <v>5556.795399999997</v>
      </c>
      <c r="I47" s="17">
        <f t="shared" si="21"/>
        <v>1055.7046000000028</v>
      </c>
      <c r="J47" s="17">
        <f t="shared" si="22"/>
        <v>6612.5</v>
      </c>
      <c r="K47" s="17">
        <v>1.06625</v>
      </c>
      <c r="L47" s="17">
        <f t="shared" si="23"/>
        <v>0.2452375</v>
      </c>
      <c r="M47" s="29" t="s">
        <v>279</v>
      </c>
      <c r="N47" s="29" t="s">
        <v>7</v>
      </c>
      <c r="O47" s="17">
        <f t="shared" si="24"/>
        <v>0</v>
      </c>
      <c r="Z47" s="17">
        <f t="shared" si="25"/>
        <v>0</v>
      </c>
      <c r="AA47" s="17">
        <f t="shared" si="26"/>
        <v>0</v>
      </c>
      <c r="AB47" s="17">
        <f t="shared" si="27"/>
        <v>6612.5</v>
      </c>
      <c r="AD47" s="34">
        <v>21</v>
      </c>
      <c r="AE47" s="34">
        <f>G47*0.840347130434782</f>
        <v>24159.979999999985</v>
      </c>
      <c r="AF47" s="34">
        <f>G47*(1-0.840347130434782)</f>
        <v>4590.020000000016</v>
      </c>
      <c r="AM47" s="34">
        <f t="shared" si="28"/>
        <v>5556.795399999997</v>
      </c>
      <c r="AN47" s="34">
        <f t="shared" si="29"/>
        <v>1055.7046000000037</v>
      </c>
      <c r="AO47" s="35" t="s">
        <v>295</v>
      </c>
      <c r="AP47" s="35" t="s">
        <v>310</v>
      </c>
      <c r="AQ47" s="26" t="s">
        <v>313</v>
      </c>
    </row>
    <row r="48" spans="1:43" ht="12.75">
      <c r="A48" s="4" t="s">
        <v>40</v>
      </c>
      <c r="B48" s="4"/>
      <c r="C48" s="4" t="s">
        <v>178</v>
      </c>
      <c r="D48" s="4" t="s">
        <v>211</v>
      </c>
      <c r="E48" s="4" t="s">
        <v>257</v>
      </c>
      <c r="F48" s="17">
        <v>4.26</v>
      </c>
      <c r="G48" s="17">
        <v>2890</v>
      </c>
      <c r="H48" s="17">
        <f t="shared" si="20"/>
        <v>10199.292000000007</v>
      </c>
      <c r="I48" s="17">
        <f t="shared" si="21"/>
        <v>2112.107999999993</v>
      </c>
      <c r="J48" s="17">
        <f t="shared" si="22"/>
        <v>12311.4</v>
      </c>
      <c r="K48" s="17">
        <v>2.545</v>
      </c>
      <c r="L48" s="17">
        <f t="shared" si="23"/>
        <v>10.8417</v>
      </c>
      <c r="M48" s="29" t="s">
        <v>279</v>
      </c>
      <c r="N48" s="29" t="s">
        <v>7</v>
      </c>
      <c r="O48" s="17">
        <f t="shared" si="24"/>
        <v>0</v>
      </c>
      <c r="Z48" s="17">
        <f t="shared" si="25"/>
        <v>0</v>
      </c>
      <c r="AA48" s="17">
        <f t="shared" si="26"/>
        <v>0</v>
      </c>
      <c r="AB48" s="17">
        <f t="shared" si="27"/>
        <v>12311.4</v>
      </c>
      <c r="AD48" s="34">
        <v>21</v>
      </c>
      <c r="AE48" s="34">
        <f>G48*0.828442906574395</f>
        <v>2394.2000000000016</v>
      </c>
      <c r="AF48" s="34">
        <f>G48*(1-0.828442906574395)</f>
        <v>495.7999999999984</v>
      </c>
      <c r="AM48" s="34">
        <f t="shared" si="28"/>
        <v>10199.292000000007</v>
      </c>
      <c r="AN48" s="34">
        <f t="shared" si="29"/>
        <v>2112.1079999999934</v>
      </c>
      <c r="AO48" s="35" t="s">
        <v>295</v>
      </c>
      <c r="AP48" s="35" t="s">
        <v>310</v>
      </c>
      <c r="AQ48" s="26" t="s">
        <v>313</v>
      </c>
    </row>
    <row r="49" spans="1:43" ht="12.75">
      <c r="A49" s="4" t="s">
        <v>41</v>
      </c>
      <c r="B49" s="4"/>
      <c r="C49" s="4" t="s">
        <v>179</v>
      </c>
      <c r="D49" s="4" t="s">
        <v>212</v>
      </c>
      <c r="E49" s="4" t="s">
        <v>257</v>
      </c>
      <c r="F49" s="17">
        <v>4.26</v>
      </c>
      <c r="G49" s="17">
        <v>491.925</v>
      </c>
      <c r="H49" s="17">
        <f t="shared" si="20"/>
        <v>253.6191000000003</v>
      </c>
      <c r="I49" s="17">
        <f t="shared" si="21"/>
        <v>1841.9813999999997</v>
      </c>
      <c r="J49" s="17">
        <f t="shared" si="22"/>
        <v>2095.6005</v>
      </c>
      <c r="K49" s="17">
        <v>0.02</v>
      </c>
      <c r="L49" s="17">
        <f t="shared" si="23"/>
        <v>0.0852</v>
      </c>
      <c r="M49" s="29" t="s">
        <v>279</v>
      </c>
      <c r="N49" s="29" t="s">
        <v>7</v>
      </c>
      <c r="O49" s="17">
        <f t="shared" si="24"/>
        <v>0</v>
      </c>
      <c r="Z49" s="17">
        <f t="shared" si="25"/>
        <v>0</v>
      </c>
      <c r="AA49" s="17">
        <f t="shared" si="26"/>
        <v>0</v>
      </c>
      <c r="AB49" s="17">
        <f t="shared" si="27"/>
        <v>2095.6005</v>
      </c>
      <c r="AD49" s="34">
        <v>21</v>
      </c>
      <c r="AE49" s="34">
        <f>G49*0.12102454642476</f>
        <v>59.53500000000007</v>
      </c>
      <c r="AF49" s="34">
        <f>G49*(1-0.12102454642476)</f>
        <v>432.38999999999993</v>
      </c>
      <c r="AM49" s="34">
        <f t="shared" si="28"/>
        <v>253.6191000000003</v>
      </c>
      <c r="AN49" s="34">
        <f t="shared" si="29"/>
        <v>1841.9813999999997</v>
      </c>
      <c r="AO49" s="35" t="s">
        <v>295</v>
      </c>
      <c r="AP49" s="35" t="s">
        <v>310</v>
      </c>
      <c r="AQ49" s="26" t="s">
        <v>313</v>
      </c>
    </row>
    <row r="50" spans="1:43" ht="12.75">
      <c r="A50" s="4" t="s">
        <v>42</v>
      </c>
      <c r="B50" s="4"/>
      <c r="C50" s="4" t="s">
        <v>180</v>
      </c>
      <c r="D50" s="4" t="s">
        <v>213</v>
      </c>
      <c r="E50" s="4" t="s">
        <v>255</v>
      </c>
      <c r="F50" s="17">
        <v>42.6</v>
      </c>
      <c r="G50" s="17">
        <v>185</v>
      </c>
      <c r="H50" s="17">
        <f t="shared" si="20"/>
        <v>5498.382000000002</v>
      </c>
      <c r="I50" s="17">
        <f t="shared" si="21"/>
        <v>2382.6179999999977</v>
      </c>
      <c r="J50" s="17">
        <f t="shared" si="22"/>
        <v>7881</v>
      </c>
      <c r="K50" s="17">
        <v>0.0002</v>
      </c>
      <c r="L50" s="17">
        <f t="shared" si="23"/>
        <v>0.008520000000000002</v>
      </c>
      <c r="M50" s="29" t="s">
        <v>280</v>
      </c>
      <c r="N50" s="29" t="s">
        <v>7</v>
      </c>
      <c r="O50" s="17">
        <f t="shared" si="24"/>
        <v>0</v>
      </c>
      <c r="Z50" s="17">
        <f t="shared" si="25"/>
        <v>0</v>
      </c>
      <c r="AA50" s="17">
        <f t="shared" si="26"/>
        <v>0</v>
      </c>
      <c r="AB50" s="17">
        <f t="shared" si="27"/>
        <v>7881</v>
      </c>
      <c r="AD50" s="34">
        <v>21</v>
      </c>
      <c r="AE50" s="34">
        <f>G50*0.697675675675676</f>
        <v>129.07000000000005</v>
      </c>
      <c r="AF50" s="34">
        <f>G50*(1-0.697675675675676)</f>
        <v>55.929999999999936</v>
      </c>
      <c r="AM50" s="34">
        <f t="shared" si="28"/>
        <v>5498.382000000002</v>
      </c>
      <c r="AN50" s="34">
        <f t="shared" si="29"/>
        <v>2382.617999999997</v>
      </c>
      <c r="AO50" s="35" t="s">
        <v>295</v>
      </c>
      <c r="AP50" s="35" t="s">
        <v>310</v>
      </c>
      <c r="AQ50" s="26" t="s">
        <v>313</v>
      </c>
    </row>
    <row r="51" spans="1:43" ht="12.75">
      <c r="A51" s="4" t="s">
        <v>43</v>
      </c>
      <c r="B51" s="4"/>
      <c r="C51" s="4" t="s">
        <v>181</v>
      </c>
      <c r="D51" s="4" t="s">
        <v>214</v>
      </c>
      <c r="E51" s="4" t="s">
        <v>259</v>
      </c>
      <c r="F51" s="17">
        <v>23.36</v>
      </c>
      <c r="G51" s="17">
        <v>530</v>
      </c>
      <c r="H51" s="17">
        <f t="shared" si="20"/>
        <v>0</v>
      </c>
      <c r="I51" s="17">
        <f t="shared" si="21"/>
        <v>12380.8</v>
      </c>
      <c r="J51" s="17">
        <f t="shared" si="22"/>
        <v>12380.8</v>
      </c>
      <c r="K51" s="17">
        <v>0</v>
      </c>
      <c r="L51" s="17">
        <f t="shared" si="23"/>
        <v>0</v>
      </c>
      <c r="M51" s="29" t="s">
        <v>280</v>
      </c>
      <c r="N51" s="29" t="s">
        <v>11</v>
      </c>
      <c r="O51" s="17">
        <f t="shared" si="24"/>
        <v>12380.8</v>
      </c>
      <c r="Z51" s="17">
        <f t="shared" si="25"/>
        <v>0</v>
      </c>
      <c r="AA51" s="17">
        <f t="shared" si="26"/>
        <v>0</v>
      </c>
      <c r="AB51" s="17">
        <f t="shared" si="27"/>
        <v>12380.8</v>
      </c>
      <c r="AD51" s="34">
        <v>21</v>
      </c>
      <c r="AE51" s="34">
        <f>G51*0</f>
        <v>0</v>
      </c>
      <c r="AF51" s="34">
        <f>G51*(1-0)</f>
        <v>530</v>
      </c>
      <c r="AM51" s="34">
        <f t="shared" si="28"/>
        <v>0</v>
      </c>
      <c r="AN51" s="34">
        <f t="shared" si="29"/>
        <v>12380.8</v>
      </c>
      <c r="AO51" s="35" t="s">
        <v>295</v>
      </c>
      <c r="AP51" s="35" t="s">
        <v>310</v>
      </c>
      <c r="AQ51" s="26" t="s">
        <v>313</v>
      </c>
    </row>
    <row r="52" spans="1:43" ht="12.75">
      <c r="A52" s="4" t="s">
        <v>44</v>
      </c>
      <c r="B52" s="4"/>
      <c r="C52" s="4" t="s">
        <v>182</v>
      </c>
      <c r="D52" s="4" t="s">
        <v>215</v>
      </c>
      <c r="E52" s="4" t="s">
        <v>259</v>
      </c>
      <c r="F52" s="17">
        <v>43.17</v>
      </c>
      <c r="G52" s="17">
        <v>50.6</v>
      </c>
      <c r="H52" s="17">
        <f t="shared" si="20"/>
        <v>0</v>
      </c>
      <c r="I52" s="17">
        <f t="shared" si="21"/>
        <v>2184.402</v>
      </c>
      <c r="J52" s="17">
        <f t="shared" si="22"/>
        <v>2184.402</v>
      </c>
      <c r="K52" s="17">
        <v>0</v>
      </c>
      <c r="L52" s="17">
        <f t="shared" si="23"/>
        <v>0</v>
      </c>
      <c r="M52" s="29" t="s">
        <v>281</v>
      </c>
      <c r="N52" s="29" t="s">
        <v>11</v>
      </c>
      <c r="O52" s="17">
        <f t="shared" si="24"/>
        <v>2184.402</v>
      </c>
      <c r="Z52" s="17">
        <f t="shared" si="25"/>
        <v>0</v>
      </c>
      <c r="AA52" s="17">
        <f t="shared" si="26"/>
        <v>0</v>
      </c>
      <c r="AB52" s="17">
        <f t="shared" si="27"/>
        <v>2184.402</v>
      </c>
      <c r="AD52" s="34">
        <v>21</v>
      </c>
      <c r="AE52" s="34">
        <f>G52*0</f>
        <v>0</v>
      </c>
      <c r="AF52" s="34">
        <f>G52*(1-0)</f>
        <v>50.6</v>
      </c>
      <c r="AM52" s="34">
        <f t="shared" si="28"/>
        <v>0</v>
      </c>
      <c r="AN52" s="34">
        <f t="shared" si="29"/>
        <v>2184.402</v>
      </c>
      <c r="AO52" s="35" t="s">
        <v>295</v>
      </c>
      <c r="AP52" s="35" t="s">
        <v>310</v>
      </c>
      <c r="AQ52" s="26" t="s">
        <v>313</v>
      </c>
    </row>
    <row r="53" spans="1:37" ht="12.75">
      <c r="A53" s="6"/>
      <c r="B53" s="13"/>
      <c r="C53" s="13" t="s">
        <v>188</v>
      </c>
      <c r="D53" s="72" t="s">
        <v>223</v>
      </c>
      <c r="E53" s="73"/>
      <c r="F53" s="73"/>
      <c r="G53" s="73"/>
      <c r="H53" s="37">
        <f>SUM(H54:H62)</f>
        <v>578020.6751999999</v>
      </c>
      <c r="I53" s="37">
        <f>SUM(I54:I62)</f>
        <v>348934.0508</v>
      </c>
      <c r="J53" s="37">
        <f>H53+I53</f>
        <v>926954.726</v>
      </c>
      <c r="K53" s="26"/>
      <c r="L53" s="37">
        <f>SUM(L54:L62)</f>
        <v>546.54672</v>
      </c>
      <c r="M53" s="26"/>
      <c r="P53" s="37">
        <f>IF(Q53="PR",J53,SUM(O54:O62))</f>
        <v>101291.27</v>
      </c>
      <c r="Q53" s="26" t="s">
        <v>285</v>
      </c>
      <c r="R53" s="37">
        <f>IF(Q53="HS",H53,0)</f>
        <v>578020.6751999999</v>
      </c>
      <c r="S53" s="37">
        <f>IF(Q53="HS",I53-P53,0)</f>
        <v>247642.7808</v>
      </c>
      <c r="T53" s="37">
        <f>IF(Q53="PS",H53,0)</f>
        <v>0</v>
      </c>
      <c r="U53" s="37">
        <f>IF(Q53="PS",I53-P53,0)</f>
        <v>0</v>
      </c>
      <c r="V53" s="37">
        <f>IF(Q53="MP",H53,0)</f>
        <v>0</v>
      </c>
      <c r="W53" s="37">
        <f>IF(Q53="MP",I53-P53,0)</f>
        <v>0</v>
      </c>
      <c r="X53" s="37">
        <f>IF(Q53="OM",H53,0)</f>
        <v>0</v>
      </c>
      <c r="Y53" s="26"/>
      <c r="AI53" s="37">
        <f>SUM(Z54:Z62)</f>
        <v>0</v>
      </c>
      <c r="AJ53" s="37">
        <f>SUM(AA54:AA62)</f>
        <v>0</v>
      </c>
      <c r="AK53" s="37">
        <f>SUM(AB54:AB62)</f>
        <v>926954.7260000001</v>
      </c>
    </row>
    <row r="54" spans="1:43" ht="12.75">
      <c r="A54" s="4" t="s">
        <v>45</v>
      </c>
      <c r="B54" s="4"/>
      <c r="C54" s="4" t="s">
        <v>171</v>
      </c>
      <c r="D54" s="4" t="s">
        <v>224</v>
      </c>
      <c r="E54" s="4" t="s">
        <v>255</v>
      </c>
      <c r="F54" s="17">
        <v>264</v>
      </c>
      <c r="G54" s="17">
        <v>320</v>
      </c>
      <c r="H54" s="17">
        <f aca="true" t="shared" si="30" ref="H54:H62">F54*AE54</f>
        <v>1541.76</v>
      </c>
      <c r="I54" s="17">
        <f aca="true" t="shared" si="31" ref="I54:I62">J54-H54</f>
        <v>82938.24</v>
      </c>
      <c r="J54" s="17">
        <f aca="true" t="shared" si="32" ref="J54:J62">F54*G54</f>
        <v>84480</v>
      </c>
      <c r="K54" s="17">
        <v>0.52</v>
      </c>
      <c r="L54" s="17">
        <f aca="true" t="shared" si="33" ref="L54:L62">F54*K54</f>
        <v>137.28</v>
      </c>
      <c r="M54" s="29" t="s">
        <v>279</v>
      </c>
      <c r="N54" s="29" t="s">
        <v>9</v>
      </c>
      <c r="O54" s="17">
        <f aca="true" t="shared" si="34" ref="O54:O62">IF(N54="5",I54,0)</f>
        <v>0</v>
      </c>
      <c r="Z54" s="17">
        <f aca="true" t="shared" si="35" ref="Z54:Z62">IF(AD54=0,J54,0)</f>
        <v>0</v>
      </c>
      <c r="AA54" s="17">
        <f aca="true" t="shared" si="36" ref="AA54:AA62">IF(AD54=15,J54,0)</f>
        <v>0</v>
      </c>
      <c r="AB54" s="17">
        <f aca="true" t="shared" si="37" ref="AB54:AB62">IF(AD54=21,J54,0)</f>
        <v>84480</v>
      </c>
      <c r="AD54" s="34">
        <v>21</v>
      </c>
      <c r="AE54" s="34">
        <f>G54*0.01825</f>
        <v>5.84</v>
      </c>
      <c r="AF54" s="34">
        <f>G54*(1-0.01825)</f>
        <v>314.16</v>
      </c>
      <c r="AM54" s="34">
        <f aca="true" t="shared" si="38" ref="AM54:AM62">F54*AE54</f>
        <v>1541.76</v>
      </c>
      <c r="AN54" s="34">
        <f aca="true" t="shared" si="39" ref="AN54:AN62">F54*AF54</f>
        <v>82938.24</v>
      </c>
      <c r="AO54" s="35" t="s">
        <v>296</v>
      </c>
      <c r="AP54" s="35" t="s">
        <v>310</v>
      </c>
      <c r="AQ54" s="26" t="s">
        <v>313</v>
      </c>
    </row>
    <row r="55" spans="1:43" ht="12.75">
      <c r="A55" s="4" t="s">
        <v>46</v>
      </c>
      <c r="B55" s="4"/>
      <c r="C55" s="4" t="s">
        <v>173</v>
      </c>
      <c r="D55" s="4" t="s">
        <v>206</v>
      </c>
      <c r="E55" s="4" t="s">
        <v>257</v>
      </c>
      <c r="F55" s="17">
        <v>96</v>
      </c>
      <c r="G55" s="17">
        <v>155</v>
      </c>
      <c r="H55" s="17">
        <f t="shared" si="30"/>
        <v>0</v>
      </c>
      <c r="I55" s="17">
        <f t="shared" si="31"/>
        <v>14880</v>
      </c>
      <c r="J55" s="17">
        <f t="shared" si="32"/>
        <v>14880</v>
      </c>
      <c r="K55" s="17">
        <v>1.6</v>
      </c>
      <c r="L55" s="17">
        <f t="shared" si="33"/>
        <v>153.60000000000002</v>
      </c>
      <c r="M55" s="29" t="s">
        <v>280</v>
      </c>
      <c r="N55" s="29" t="s">
        <v>7</v>
      </c>
      <c r="O55" s="17">
        <f t="shared" si="34"/>
        <v>0</v>
      </c>
      <c r="Z55" s="17">
        <f t="shared" si="35"/>
        <v>0</v>
      </c>
      <c r="AA55" s="17">
        <f t="shared" si="36"/>
        <v>0</v>
      </c>
      <c r="AB55" s="17">
        <f t="shared" si="37"/>
        <v>14880</v>
      </c>
      <c r="AD55" s="34">
        <v>21</v>
      </c>
      <c r="AE55" s="34">
        <f>G55*0</f>
        <v>0</v>
      </c>
      <c r="AF55" s="34">
        <f>G55*(1-0)</f>
        <v>155</v>
      </c>
      <c r="AM55" s="34">
        <f t="shared" si="38"/>
        <v>0</v>
      </c>
      <c r="AN55" s="34">
        <f t="shared" si="39"/>
        <v>14880</v>
      </c>
      <c r="AO55" s="35" t="s">
        <v>296</v>
      </c>
      <c r="AP55" s="35" t="s">
        <v>310</v>
      </c>
      <c r="AQ55" s="26" t="s">
        <v>313</v>
      </c>
    </row>
    <row r="56" spans="1:43" ht="12.75">
      <c r="A56" s="4" t="s">
        <v>47</v>
      </c>
      <c r="B56" s="4"/>
      <c r="C56" s="4" t="s">
        <v>185</v>
      </c>
      <c r="D56" s="4" t="s">
        <v>218</v>
      </c>
      <c r="E56" s="4" t="s">
        <v>255</v>
      </c>
      <c r="F56" s="17">
        <v>264</v>
      </c>
      <c r="G56" s="17">
        <v>153.3</v>
      </c>
      <c r="H56" s="17">
        <f t="shared" si="30"/>
        <v>34586.64000000002</v>
      </c>
      <c r="I56" s="17">
        <f t="shared" si="31"/>
        <v>5884.559999999983</v>
      </c>
      <c r="J56" s="17">
        <f t="shared" si="32"/>
        <v>40471.200000000004</v>
      </c>
      <c r="K56" s="17">
        <v>0.38625</v>
      </c>
      <c r="L56" s="17">
        <f t="shared" si="33"/>
        <v>101.97</v>
      </c>
      <c r="M56" s="29" t="s">
        <v>280</v>
      </c>
      <c r="N56" s="29" t="s">
        <v>7</v>
      </c>
      <c r="O56" s="17">
        <f t="shared" si="34"/>
        <v>0</v>
      </c>
      <c r="Z56" s="17">
        <f t="shared" si="35"/>
        <v>0</v>
      </c>
      <c r="AA56" s="17">
        <f t="shared" si="36"/>
        <v>0</v>
      </c>
      <c r="AB56" s="17">
        <f t="shared" si="37"/>
        <v>40471.200000000004</v>
      </c>
      <c r="AD56" s="34">
        <v>21</v>
      </c>
      <c r="AE56" s="34">
        <f>G56*0.854598825831703</f>
        <v>131.01000000000008</v>
      </c>
      <c r="AF56" s="34">
        <f>G56*(1-0.854598825831703)</f>
        <v>22.28999999999993</v>
      </c>
      <c r="AM56" s="34">
        <f t="shared" si="38"/>
        <v>34586.64000000002</v>
      </c>
      <c r="AN56" s="34">
        <f t="shared" si="39"/>
        <v>5884.559999999982</v>
      </c>
      <c r="AO56" s="35" t="s">
        <v>296</v>
      </c>
      <c r="AP56" s="35" t="s">
        <v>310</v>
      </c>
      <c r="AQ56" s="26" t="s">
        <v>313</v>
      </c>
    </row>
    <row r="57" spans="1:43" ht="12.75">
      <c r="A57" s="4" t="s">
        <v>48</v>
      </c>
      <c r="B57" s="4"/>
      <c r="C57" s="4" t="s">
        <v>174</v>
      </c>
      <c r="D57" s="4" t="s">
        <v>225</v>
      </c>
      <c r="E57" s="4" t="s">
        <v>255</v>
      </c>
      <c r="F57" s="17">
        <v>264</v>
      </c>
      <c r="G57" s="17">
        <v>124.56</v>
      </c>
      <c r="H57" s="17">
        <f t="shared" si="30"/>
        <v>27735.839999999986</v>
      </c>
      <c r="I57" s="17">
        <f t="shared" si="31"/>
        <v>5148.000000000018</v>
      </c>
      <c r="J57" s="17">
        <f t="shared" si="32"/>
        <v>32883.840000000004</v>
      </c>
      <c r="K57" s="17">
        <v>0.27994</v>
      </c>
      <c r="L57" s="17">
        <f t="shared" si="33"/>
        <v>73.90416</v>
      </c>
      <c r="M57" s="29" t="s">
        <v>280</v>
      </c>
      <c r="N57" s="29" t="s">
        <v>7</v>
      </c>
      <c r="O57" s="17">
        <f t="shared" si="34"/>
        <v>0</v>
      </c>
      <c r="Z57" s="17">
        <f t="shared" si="35"/>
        <v>0</v>
      </c>
      <c r="AA57" s="17">
        <f t="shared" si="36"/>
        <v>0</v>
      </c>
      <c r="AB57" s="17">
        <f t="shared" si="37"/>
        <v>32883.840000000004</v>
      </c>
      <c r="AD57" s="34">
        <v>21</v>
      </c>
      <c r="AE57" s="34">
        <f>G57*0.843448940269749</f>
        <v>105.05999999999995</v>
      </c>
      <c r="AF57" s="34">
        <f>G57*(1-0.843448940269749)</f>
        <v>19.50000000000006</v>
      </c>
      <c r="AM57" s="34">
        <f t="shared" si="38"/>
        <v>27735.839999999986</v>
      </c>
      <c r="AN57" s="34">
        <f t="shared" si="39"/>
        <v>5148.000000000016</v>
      </c>
      <c r="AO57" s="35" t="s">
        <v>296</v>
      </c>
      <c r="AP57" s="35" t="s">
        <v>310</v>
      </c>
      <c r="AQ57" s="26" t="s">
        <v>313</v>
      </c>
    </row>
    <row r="58" spans="1:43" ht="12.75">
      <c r="A58" s="4" t="s">
        <v>49</v>
      </c>
      <c r="B58" s="4"/>
      <c r="C58" s="4" t="s">
        <v>189</v>
      </c>
      <c r="D58" s="4" t="s">
        <v>226</v>
      </c>
      <c r="E58" s="4" t="s">
        <v>255</v>
      </c>
      <c r="F58" s="17">
        <v>264</v>
      </c>
      <c r="G58" s="17">
        <v>695.52</v>
      </c>
      <c r="H58" s="17">
        <f t="shared" si="30"/>
        <v>54075.85919999998</v>
      </c>
      <c r="I58" s="17">
        <f t="shared" si="31"/>
        <v>129541.42080000002</v>
      </c>
      <c r="J58" s="17">
        <f t="shared" si="32"/>
        <v>183617.28</v>
      </c>
      <c r="K58" s="17">
        <v>0.13325</v>
      </c>
      <c r="L58" s="17">
        <f t="shared" si="33"/>
        <v>35.178000000000004</v>
      </c>
      <c r="M58" s="29" t="s">
        <v>281</v>
      </c>
      <c r="N58" s="29" t="s">
        <v>9</v>
      </c>
      <c r="O58" s="17">
        <f t="shared" si="34"/>
        <v>0</v>
      </c>
      <c r="Z58" s="17">
        <f t="shared" si="35"/>
        <v>0</v>
      </c>
      <c r="AA58" s="17">
        <f t="shared" si="36"/>
        <v>0</v>
      </c>
      <c r="AB58" s="17">
        <f t="shared" si="37"/>
        <v>183617.28</v>
      </c>
      <c r="AD58" s="34">
        <v>21</v>
      </c>
      <c r="AE58" s="34">
        <f>G58*0.294503105590062</f>
        <v>204.8327999999999</v>
      </c>
      <c r="AF58" s="34">
        <f>G58*(1-0.294503105590062)</f>
        <v>490.6872000000001</v>
      </c>
      <c r="AM58" s="34">
        <f t="shared" si="38"/>
        <v>54075.85919999998</v>
      </c>
      <c r="AN58" s="34">
        <f t="shared" si="39"/>
        <v>129541.42080000002</v>
      </c>
      <c r="AO58" s="35" t="s">
        <v>296</v>
      </c>
      <c r="AP58" s="35" t="s">
        <v>310</v>
      </c>
      <c r="AQ58" s="26" t="s">
        <v>313</v>
      </c>
    </row>
    <row r="59" spans="1:43" ht="12.75">
      <c r="A59" s="5" t="s">
        <v>50</v>
      </c>
      <c r="B59" s="5"/>
      <c r="C59" s="5" t="s">
        <v>190</v>
      </c>
      <c r="D59" s="5" t="s">
        <v>227</v>
      </c>
      <c r="E59" s="5" t="s">
        <v>255</v>
      </c>
      <c r="F59" s="18">
        <v>180</v>
      </c>
      <c r="G59" s="18">
        <v>2500</v>
      </c>
      <c r="H59" s="18">
        <f t="shared" si="30"/>
        <v>450000</v>
      </c>
      <c r="I59" s="18">
        <f t="shared" si="31"/>
        <v>0</v>
      </c>
      <c r="J59" s="18">
        <f t="shared" si="32"/>
        <v>450000</v>
      </c>
      <c r="K59" s="18">
        <v>0.096</v>
      </c>
      <c r="L59" s="18">
        <f t="shared" si="33"/>
        <v>17.28</v>
      </c>
      <c r="M59" s="30" t="s">
        <v>281</v>
      </c>
      <c r="N59" s="30" t="s">
        <v>282</v>
      </c>
      <c r="O59" s="18">
        <f t="shared" si="34"/>
        <v>0</v>
      </c>
      <c r="Z59" s="18">
        <f t="shared" si="35"/>
        <v>0</v>
      </c>
      <c r="AA59" s="18">
        <f t="shared" si="36"/>
        <v>0</v>
      </c>
      <c r="AB59" s="18">
        <f t="shared" si="37"/>
        <v>450000</v>
      </c>
      <c r="AD59" s="34">
        <v>21</v>
      </c>
      <c r="AE59" s="34">
        <f>G59*1</f>
        <v>2500</v>
      </c>
      <c r="AF59" s="34">
        <f>G59*(1-1)</f>
        <v>0</v>
      </c>
      <c r="AM59" s="34">
        <f t="shared" si="38"/>
        <v>450000</v>
      </c>
      <c r="AN59" s="34">
        <f t="shared" si="39"/>
        <v>0</v>
      </c>
      <c r="AO59" s="35" t="s">
        <v>296</v>
      </c>
      <c r="AP59" s="35" t="s">
        <v>310</v>
      </c>
      <c r="AQ59" s="26" t="s">
        <v>313</v>
      </c>
    </row>
    <row r="60" spans="1:43" ht="12.75">
      <c r="A60" s="4" t="s">
        <v>51</v>
      </c>
      <c r="B60" s="4"/>
      <c r="C60" s="4" t="s">
        <v>191</v>
      </c>
      <c r="D60" s="4" t="s">
        <v>228</v>
      </c>
      <c r="E60" s="4" t="s">
        <v>255</v>
      </c>
      <c r="F60" s="17">
        <v>264</v>
      </c>
      <c r="G60" s="17">
        <v>73.224</v>
      </c>
      <c r="H60" s="17">
        <f t="shared" si="30"/>
        <v>10080.576</v>
      </c>
      <c r="I60" s="17">
        <f t="shared" si="31"/>
        <v>9250.560000000003</v>
      </c>
      <c r="J60" s="17">
        <f t="shared" si="32"/>
        <v>19331.136000000002</v>
      </c>
      <c r="K60" s="17">
        <v>0.10354</v>
      </c>
      <c r="L60" s="17">
        <f t="shared" si="33"/>
        <v>27.33456</v>
      </c>
      <c r="M60" s="29" t="s">
        <v>280</v>
      </c>
      <c r="N60" s="29" t="s">
        <v>7</v>
      </c>
      <c r="O60" s="17">
        <f t="shared" si="34"/>
        <v>0</v>
      </c>
      <c r="Z60" s="17">
        <f t="shared" si="35"/>
        <v>0</v>
      </c>
      <c r="AA60" s="17">
        <f t="shared" si="36"/>
        <v>0</v>
      </c>
      <c r="AB60" s="17">
        <f t="shared" si="37"/>
        <v>19331.136000000002</v>
      </c>
      <c r="AD60" s="34">
        <v>21</v>
      </c>
      <c r="AE60" s="34">
        <f>G60*0.521468371025893</f>
        <v>38.184</v>
      </c>
      <c r="AF60" s="34">
        <f>G60*(1-0.521468371025893)</f>
        <v>35.040000000000006</v>
      </c>
      <c r="AM60" s="34">
        <f t="shared" si="38"/>
        <v>10080.576</v>
      </c>
      <c r="AN60" s="34">
        <f t="shared" si="39"/>
        <v>9250.560000000001</v>
      </c>
      <c r="AO60" s="35" t="s">
        <v>296</v>
      </c>
      <c r="AP60" s="35" t="s">
        <v>310</v>
      </c>
      <c r="AQ60" s="26" t="s">
        <v>313</v>
      </c>
    </row>
    <row r="61" spans="1:43" ht="12.75">
      <c r="A61" s="4" t="s">
        <v>52</v>
      </c>
      <c r="B61" s="4"/>
      <c r="C61" s="4" t="s">
        <v>181</v>
      </c>
      <c r="D61" s="4" t="s">
        <v>214</v>
      </c>
      <c r="E61" s="4" t="s">
        <v>259</v>
      </c>
      <c r="F61" s="17">
        <v>153.6</v>
      </c>
      <c r="G61" s="17">
        <v>530</v>
      </c>
      <c r="H61" s="17">
        <f t="shared" si="30"/>
        <v>0</v>
      </c>
      <c r="I61" s="17">
        <f t="shared" si="31"/>
        <v>81408</v>
      </c>
      <c r="J61" s="17">
        <f t="shared" si="32"/>
        <v>81408</v>
      </c>
      <c r="K61" s="17">
        <v>0</v>
      </c>
      <c r="L61" s="17">
        <f t="shared" si="33"/>
        <v>0</v>
      </c>
      <c r="M61" s="29" t="s">
        <v>280</v>
      </c>
      <c r="N61" s="29" t="s">
        <v>11</v>
      </c>
      <c r="O61" s="17">
        <f t="shared" si="34"/>
        <v>81408</v>
      </c>
      <c r="Z61" s="17">
        <f t="shared" si="35"/>
        <v>0</v>
      </c>
      <c r="AA61" s="17">
        <f t="shared" si="36"/>
        <v>0</v>
      </c>
      <c r="AB61" s="17">
        <f t="shared" si="37"/>
        <v>81408</v>
      </c>
      <c r="AD61" s="34">
        <v>21</v>
      </c>
      <c r="AE61" s="34">
        <f>G61*0</f>
        <v>0</v>
      </c>
      <c r="AF61" s="34">
        <f>G61*(1-0)</f>
        <v>530</v>
      </c>
      <c r="AM61" s="34">
        <f t="shared" si="38"/>
        <v>0</v>
      </c>
      <c r="AN61" s="34">
        <f t="shared" si="39"/>
        <v>81408</v>
      </c>
      <c r="AO61" s="35" t="s">
        <v>296</v>
      </c>
      <c r="AP61" s="35" t="s">
        <v>310</v>
      </c>
      <c r="AQ61" s="26" t="s">
        <v>313</v>
      </c>
    </row>
    <row r="62" spans="1:43" ht="12.75">
      <c r="A62" s="4" t="s">
        <v>53</v>
      </c>
      <c r="B62" s="4"/>
      <c r="C62" s="4" t="s">
        <v>182</v>
      </c>
      <c r="D62" s="4" t="s">
        <v>215</v>
      </c>
      <c r="E62" s="4" t="s">
        <v>259</v>
      </c>
      <c r="F62" s="17">
        <v>392.95</v>
      </c>
      <c r="G62" s="17">
        <v>50.6</v>
      </c>
      <c r="H62" s="17">
        <f t="shared" si="30"/>
        <v>0</v>
      </c>
      <c r="I62" s="17">
        <f t="shared" si="31"/>
        <v>19883.27</v>
      </c>
      <c r="J62" s="17">
        <f t="shared" si="32"/>
        <v>19883.27</v>
      </c>
      <c r="K62" s="17">
        <v>0</v>
      </c>
      <c r="L62" s="17">
        <f t="shared" si="33"/>
        <v>0</v>
      </c>
      <c r="M62" s="29" t="s">
        <v>281</v>
      </c>
      <c r="N62" s="29" t="s">
        <v>11</v>
      </c>
      <c r="O62" s="17">
        <f t="shared" si="34"/>
        <v>19883.27</v>
      </c>
      <c r="Z62" s="17">
        <f t="shared" si="35"/>
        <v>0</v>
      </c>
      <c r="AA62" s="17">
        <f t="shared" si="36"/>
        <v>0</v>
      </c>
      <c r="AB62" s="17">
        <f t="shared" si="37"/>
        <v>19883.27</v>
      </c>
      <c r="AD62" s="34">
        <v>21</v>
      </c>
      <c r="AE62" s="34">
        <f>G62*0</f>
        <v>0</v>
      </c>
      <c r="AF62" s="34">
        <f>G62*(1-0)</f>
        <v>50.6</v>
      </c>
      <c r="AM62" s="34">
        <f t="shared" si="38"/>
        <v>0</v>
      </c>
      <c r="AN62" s="34">
        <f t="shared" si="39"/>
        <v>19883.27</v>
      </c>
      <c r="AO62" s="35" t="s">
        <v>296</v>
      </c>
      <c r="AP62" s="35" t="s">
        <v>310</v>
      </c>
      <c r="AQ62" s="26" t="s">
        <v>313</v>
      </c>
    </row>
    <row r="63" spans="1:37" ht="12.75">
      <c r="A63" s="6"/>
      <c r="B63" s="13"/>
      <c r="C63" s="13" t="s">
        <v>192</v>
      </c>
      <c r="D63" s="72" t="s">
        <v>229</v>
      </c>
      <c r="E63" s="73"/>
      <c r="F63" s="73"/>
      <c r="G63" s="73"/>
      <c r="H63" s="37">
        <f>SUM(H64:H75)</f>
        <v>33448.1772</v>
      </c>
      <c r="I63" s="37">
        <f>SUM(I64:I75)</f>
        <v>36097.130800000006</v>
      </c>
      <c r="J63" s="37">
        <f>H63+I63</f>
        <v>69545.308</v>
      </c>
      <c r="K63" s="26"/>
      <c r="L63" s="37">
        <f>SUM(L64:L75)</f>
        <v>72.10265999999999</v>
      </c>
      <c r="M63" s="26"/>
      <c r="P63" s="37">
        <f>IF(Q63="PR",J63,SUM(O64:O75))</f>
        <v>15211.388</v>
      </c>
      <c r="Q63" s="26" t="s">
        <v>285</v>
      </c>
      <c r="R63" s="37">
        <f>IF(Q63="HS",H63,0)</f>
        <v>33448.1772</v>
      </c>
      <c r="S63" s="37">
        <f>IF(Q63="HS",I63-P63,0)</f>
        <v>20885.742800000007</v>
      </c>
      <c r="T63" s="37">
        <f>IF(Q63="PS",H63,0)</f>
        <v>0</v>
      </c>
      <c r="U63" s="37">
        <f>IF(Q63="PS",I63-P63,0)</f>
        <v>0</v>
      </c>
      <c r="V63" s="37">
        <f>IF(Q63="MP",H63,0)</f>
        <v>0</v>
      </c>
      <c r="W63" s="37">
        <f>IF(Q63="MP",I63-P63,0)</f>
        <v>0</v>
      </c>
      <c r="X63" s="37">
        <f>IF(Q63="OM",H63,0)</f>
        <v>0</v>
      </c>
      <c r="Y63" s="26"/>
      <c r="AI63" s="37">
        <f>SUM(Z64:Z75)</f>
        <v>0</v>
      </c>
      <c r="AJ63" s="37">
        <f>SUM(AA64:AA75)</f>
        <v>0</v>
      </c>
      <c r="AK63" s="37">
        <f>SUM(AB64:AB75)</f>
        <v>69545.308</v>
      </c>
    </row>
    <row r="64" spans="1:43" ht="12.75">
      <c r="A64" s="4" t="s">
        <v>54</v>
      </c>
      <c r="B64" s="4"/>
      <c r="C64" s="4" t="s">
        <v>171</v>
      </c>
      <c r="D64" s="4" t="s">
        <v>204</v>
      </c>
      <c r="E64" s="4" t="s">
        <v>255</v>
      </c>
      <c r="F64" s="17">
        <v>44</v>
      </c>
      <c r="G64" s="17">
        <v>155</v>
      </c>
      <c r="H64" s="17">
        <f aca="true" t="shared" si="40" ref="H64:H75">F64*AE64</f>
        <v>126.28000000000026</v>
      </c>
      <c r="I64" s="17">
        <f aca="true" t="shared" si="41" ref="I64:I75">J64-H64</f>
        <v>6693.719999999999</v>
      </c>
      <c r="J64" s="17">
        <f aca="true" t="shared" si="42" ref="J64:J75">F64*G64</f>
        <v>6820</v>
      </c>
      <c r="K64" s="17">
        <v>0.52</v>
      </c>
      <c r="L64" s="17">
        <f aca="true" t="shared" si="43" ref="L64:L75">F64*K64</f>
        <v>22.880000000000003</v>
      </c>
      <c r="M64" s="29" t="s">
        <v>279</v>
      </c>
      <c r="N64" s="29" t="s">
        <v>9</v>
      </c>
      <c r="O64" s="17">
        <f aca="true" t="shared" si="44" ref="O64:O75">IF(N64="5",I64,0)</f>
        <v>0</v>
      </c>
      <c r="Z64" s="17">
        <f aca="true" t="shared" si="45" ref="Z64:Z75">IF(AD64=0,J64,0)</f>
        <v>0</v>
      </c>
      <c r="AA64" s="17">
        <f aca="true" t="shared" si="46" ref="AA64:AA75">IF(AD64=15,J64,0)</f>
        <v>0</v>
      </c>
      <c r="AB64" s="17">
        <f aca="true" t="shared" si="47" ref="AB64:AB75">IF(AD64=21,J64,0)</f>
        <v>6820</v>
      </c>
      <c r="AD64" s="34">
        <v>21</v>
      </c>
      <c r="AE64" s="34">
        <f>G64*0.0185161290322581</f>
        <v>2.870000000000006</v>
      </c>
      <c r="AF64" s="34">
        <f>G64*(1-0.0185161290322581)</f>
        <v>152.13</v>
      </c>
      <c r="AM64" s="34">
        <f aca="true" t="shared" si="48" ref="AM64:AM75">F64*AE64</f>
        <v>126.28000000000026</v>
      </c>
      <c r="AN64" s="34">
        <f aca="true" t="shared" si="49" ref="AN64:AN75">F64*AF64</f>
        <v>6693.719999999999</v>
      </c>
      <c r="AO64" s="35" t="s">
        <v>297</v>
      </c>
      <c r="AP64" s="35" t="s">
        <v>310</v>
      </c>
      <c r="AQ64" s="26" t="s">
        <v>313</v>
      </c>
    </row>
    <row r="65" spans="1:43" ht="12.75">
      <c r="A65" s="4" t="s">
        <v>55</v>
      </c>
      <c r="B65" s="4"/>
      <c r="C65" s="4" t="s">
        <v>172</v>
      </c>
      <c r="D65" s="4" t="s">
        <v>205</v>
      </c>
      <c r="E65" s="4" t="s">
        <v>256</v>
      </c>
      <c r="F65" s="17">
        <v>73</v>
      </c>
      <c r="G65" s="17">
        <v>28.8</v>
      </c>
      <c r="H65" s="17">
        <f t="shared" si="40"/>
        <v>0</v>
      </c>
      <c r="I65" s="17">
        <f t="shared" si="41"/>
        <v>2102.4</v>
      </c>
      <c r="J65" s="17">
        <f t="shared" si="42"/>
        <v>2102.4</v>
      </c>
      <c r="K65" s="17">
        <v>0.017</v>
      </c>
      <c r="L65" s="17">
        <f t="shared" si="43"/>
        <v>1.241</v>
      </c>
      <c r="M65" s="29" t="s">
        <v>279</v>
      </c>
      <c r="N65" s="29" t="s">
        <v>8</v>
      </c>
      <c r="O65" s="17">
        <f t="shared" si="44"/>
        <v>0</v>
      </c>
      <c r="Z65" s="17">
        <f t="shared" si="45"/>
        <v>0</v>
      </c>
      <c r="AA65" s="17">
        <f t="shared" si="46"/>
        <v>0</v>
      </c>
      <c r="AB65" s="17">
        <f t="shared" si="47"/>
        <v>2102.4</v>
      </c>
      <c r="AD65" s="34">
        <v>21</v>
      </c>
      <c r="AE65" s="34">
        <f>G65*0</f>
        <v>0</v>
      </c>
      <c r="AF65" s="34">
        <f>G65*(1-0)</f>
        <v>28.8</v>
      </c>
      <c r="AM65" s="34">
        <f t="shared" si="48"/>
        <v>0</v>
      </c>
      <c r="AN65" s="34">
        <f t="shared" si="49"/>
        <v>2102.4</v>
      </c>
      <c r="AO65" s="35" t="s">
        <v>297</v>
      </c>
      <c r="AP65" s="35" t="s">
        <v>310</v>
      </c>
      <c r="AQ65" s="26" t="s">
        <v>313</v>
      </c>
    </row>
    <row r="66" spans="1:43" ht="12.75">
      <c r="A66" s="4" t="s">
        <v>56</v>
      </c>
      <c r="B66" s="4"/>
      <c r="C66" s="4" t="s">
        <v>173</v>
      </c>
      <c r="D66" s="4" t="s">
        <v>206</v>
      </c>
      <c r="E66" s="4" t="s">
        <v>257</v>
      </c>
      <c r="F66" s="17">
        <v>7.65</v>
      </c>
      <c r="G66" s="17">
        <v>155</v>
      </c>
      <c r="H66" s="17">
        <f t="shared" si="40"/>
        <v>0</v>
      </c>
      <c r="I66" s="17">
        <f t="shared" si="41"/>
        <v>1185.75</v>
      </c>
      <c r="J66" s="17">
        <f t="shared" si="42"/>
        <v>1185.75</v>
      </c>
      <c r="K66" s="17">
        <v>1.6</v>
      </c>
      <c r="L66" s="17">
        <f t="shared" si="43"/>
        <v>12.240000000000002</v>
      </c>
      <c r="M66" s="29" t="s">
        <v>280</v>
      </c>
      <c r="N66" s="29" t="s">
        <v>7</v>
      </c>
      <c r="O66" s="17">
        <f t="shared" si="44"/>
        <v>0</v>
      </c>
      <c r="Z66" s="17">
        <f t="shared" si="45"/>
        <v>0</v>
      </c>
      <c r="AA66" s="17">
        <f t="shared" si="46"/>
        <v>0</v>
      </c>
      <c r="AB66" s="17">
        <f t="shared" si="47"/>
        <v>1185.75</v>
      </c>
      <c r="AD66" s="34">
        <v>21</v>
      </c>
      <c r="AE66" s="34">
        <f>G66*0</f>
        <v>0</v>
      </c>
      <c r="AF66" s="34">
        <f>G66*(1-0)</f>
        <v>155</v>
      </c>
      <c r="AM66" s="34">
        <f t="shared" si="48"/>
        <v>0</v>
      </c>
      <c r="AN66" s="34">
        <f t="shared" si="49"/>
        <v>1185.75</v>
      </c>
      <c r="AO66" s="35" t="s">
        <v>297</v>
      </c>
      <c r="AP66" s="35" t="s">
        <v>310</v>
      </c>
      <c r="AQ66" s="26" t="s">
        <v>313</v>
      </c>
    </row>
    <row r="67" spans="1:43" ht="12.75">
      <c r="A67" s="4" t="s">
        <v>57</v>
      </c>
      <c r="B67" s="4"/>
      <c r="C67" s="4" t="s">
        <v>174</v>
      </c>
      <c r="D67" s="4" t="s">
        <v>207</v>
      </c>
      <c r="E67" s="4" t="s">
        <v>255</v>
      </c>
      <c r="F67" s="17">
        <v>44</v>
      </c>
      <c r="G67" s="17">
        <v>109.2</v>
      </c>
      <c r="H67" s="17">
        <f t="shared" si="40"/>
        <v>4052.8399999999983</v>
      </c>
      <c r="I67" s="17">
        <f t="shared" si="41"/>
        <v>751.9600000000019</v>
      </c>
      <c r="J67" s="17">
        <f t="shared" si="42"/>
        <v>4804.8</v>
      </c>
      <c r="K67" s="17">
        <v>0.27994</v>
      </c>
      <c r="L67" s="17">
        <f t="shared" si="43"/>
        <v>12.31736</v>
      </c>
      <c r="M67" s="29" t="s">
        <v>280</v>
      </c>
      <c r="N67" s="29" t="s">
        <v>7</v>
      </c>
      <c r="O67" s="17">
        <f t="shared" si="44"/>
        <v>0</v>
      </c>
      <c r="Z67" s="17">
        <f t="shared" si="45"/>
        <v>0</v>
      </c>
      <c r="AA67" s="17">
        <f t="shared" si="46"/>
        <v>0</v>
      </c>
      <c r="AB67" s="17">
        <f t="shared" si="47"/>
        <v>4804.8</v>
      </c>
      <c r="AD67" s="34">
        <v>21</v>
      </c>
      <c r="AE67" s="34">
        <f>G67*0.843498168498168</f>
        <v>92.10999999999996</v>
      </c>
      <c r="AF67" s="34">
        <f>G67*(1-0.843498168498168)</f>
        <v>17.09000000000005</v>
      </c>
      <c r="AM67" s="34">
        <f t="shared" si="48"/>
        <v>4052.8399999999983</v>
      </c>
      <c r="AN67" s="34">
        <f t="shared" si="49"/>
        <v>751.9600000000022</v>
      </c>
      <c r="AO67" s="35" t="s">
        <v>297</v>
      </c>
      <c r="AP67" s="35" t="s">
        <v>310</v>
      </c>
      <c r="AQ67" s="26" t="s">
        <v>313</v>
      </c>
    </row>
    <row r="68" spans="1:43" ht="12.75">
      <c r="A68" s="4" t="s">
        <v>58</v>
      </c>
      <c r="B68" s="4"/>
      <c r="C68" s="4" t="s">
        <v>175</v>
      </c>
      <c r="D68" s="4" t="s">
        <v>208</v>
      </c>
      <c r="E68" s="4" t="s">
        <v>256</v>
      </c>
      <c r="F68" s="17">
        <v>73</v>
      </c>
      <c r="G68" s="17">
        <v>178.5</v>
      </c>
      <c r="H68" s="17">
        <f t="shared" si="40"/>
        <v>8310.319999999992</v>
      </c>
      <c r="I68" s="17">
        <f t="shared" si="41"/>
        <v>4720.180000000008</v>
      </c>
      <c r="J68" s="17">
        <f t="shared" si="42"/>
        <v>13030.5</v>
      </c>
      <c r="K68" s="17">
        <v>0.14424</v>
      </c>
      <c r="L68" s="17">
        <f t="shared" si="43"/>
        <v>10.52952</v>
      </c>
      <c r="M68" s="29" t="s">
        <v>279</v>
      </c>
      <c r="N68" s="29" t="s">
        <v>7</v>
      </c>
      <c r="O68" s="17">
        <f t="shared" si="44"/>
        <v>0</v>
      </c>
      <c r="Z68" s="17">
        <f t="shared" si="45"/>
        <v>0</v>
      </c>
      <c r="AA68" s="17">
        <f t="shared" si="46"/>
        <v>0</v>
      </c>
      <c r="AB68" s="17">
        <f t="shared" si="47"/>
        <v>13030.5</v>
      </c>
      <c r="AD68" s="34">
        <v>21</v>
      </c>
      <c r="AE68" s="34">
        <f>G68*0.637759103641456</f>
        <v>113.8399999999999</v>
      </c>
      <c r="AF68" s="34">
        <f>G68*(1-0.637759103641456)</f>
        <v>64.6600000000001</v>
      </c>
      <c r="AM68" s="34">
        <f t="shared" si="48"/>
        <v>8310.319999999992</v>
      </c>
      <c r="AN68" s="34">
        <f t="shared" si="49"/>
        <v>4720.180000000007</v>
      </c>
      <c r="AO68" s="35" t="s">
        <v>297</v>
      </c>
      <c r="AP68" s="35" t="s">
        <v>310</v>
      </c>
      <c r="AQ68" s="26" t="s">
        <v>313</v>
      </c>
    </row>
    <row r="69" spans="1:43" ht="12.75">
      <c r="A69" s="5" t="s">
        <v>59</v>
      </c>
      <c r="B69" s="5"/>
      <c r="C69" s="5" t="s">
        <v>176</v>
      </c>
      <c r="D69" s="5" t="s">
        <v>209</v>
      </c>
      <c r="E69" s="5" t="s">
        <v>258</v>
      </c>
      <c r="F69" s="18">
        <v>260</v>
      </c>
      <c r="G69" s="18">
        <v>14.6</v>
      </c>
      <c r="H69" s="18">
        <f t="shared" si="40"/>
        <v>3796</v>
      </c>
      <c r="I69" s="18">
        <f t="shared" si="41"/>
        <v>0</v>
      </c>
      <c r="J69" s="18">
        <f t="shared" si="42"/>
        <v>3796</v>
      </c>
      <c r="K69" s="18">
        <v>0.0052</v>
      </c>
      <c r="L69" s="18">
        <f t="shared" si="43"/>
        <v>1.3519999999999999</v>
      </c>
      <c r="M69" s="30" t="s">
        <v>279</v>
      </c>
      <c r="N69" s="30" t="s">
        <v>282</v>
      </c>
      <c r="O69" s="18">
        <f t="shared" si="44"/>
        <v>0</v>
      </c>
      <c r="Z69" s="18">
        <f t="shared" si="45"/>
        <v>0</v>
      </c>
      <c r="AA69" s="18">
        <f t="shared" si="46"/>
        <v>0</v>
      </c>
      <c r="AB69" s="18">
        <f t="shared" si="47"/>
        <v>3796</v>
      </c>
      <c r="AD69" s="34">
        <v>21</v>
      </c>
      <c r="AE69" s="34">
        <f>G69*1</f>
        <v>14.6</v>
      </c>
      <c r="AF69" s="34">
        <f>G69*(1-1)</f>
        <v>0</v>
      </c>
      <c r="AM69" s="34">
        <f t="shared" si="48"/>
        <v>3796</v>
      </c>
      <c r="AN69" s="34">
        <f t="shared" si="49"/>
        <v>0</v>
      </c>
      <c r="AO69" s="35" t="s">
        <v>297</v>
      </c>
      <c r="AP69" s="35" t="s">
        <v>310</v>
      </c>
      <c r="AQ69" s="26" t="s">
        <v>313</v>
      </c>
    </row>
    <row r="70" spans="1:43" ht="12.75">
      <c r="A70" s="4" t="s">
        <v>60</v>
      </c>
      <c r="B70" s="4"/>
      <c r="C70" s="4" t="s">
        <v>177</v>
      </c>
      <c r="D70" s="4" t="s">
        <v>210</v>
      </c>
      <c r="E70" s="4" t="s">
        <v>259</v>
      </c>
      <c r="F70" s="17">
        <v>0.24</v>
      </c>
      <c r="G70" s="17">
        <v>28750</v>
      </c>
      <c r="H70" s="17">
        <f t="shared" si="40"/>
        <v>5798.395199999996</v>
      </c>
      <c r="I70" s="17">
        <f t="shared" si="41"/>
        <v>1101.6048000000037</v>
      </c>
      <c r="J70" s="17">
        <f t="shared" si="42"/>
        <v>6900</v>
      </c>
      <c r="K70" s="17">
        <v>1.06625</v>
      </c>
      <c r="L70" s="17">
        <f t="shared" si="43"/>
        <v>0.25589999999999996</v>
      </c>
      <c r="M70" s="29" t="s">
        <v>279</v>
      </c>
      <c r="N70" s="29" t="s">
        <v>7</v>
      </c>
      <c r="O70" s="17">
        <f t="shared" si="44"/>
        <v>0</v>
      </c>
      <c r="Z70" s="17">
        <f t="shared" si="45"/>
        <v>0</v>
      </c>
      <c r="AA70" s="17">
        <f t="shared" si="46"/>
        <v>0</v>
      </c>
      <c r="AB70" s="17">
        <f t="shared" si="47"/>
        <v>6900</v>
      </c>
      <c r="AD70" s="34">
        <v>21</v>
      </c>
      <c r="AE70" s="34">
        <f>G70*0.840347130434782</f>
        <v>24159.979999999985</v>
      </c>
      <c r="AF70" s="34">
        <f>G70*(1-0.840347130434782)</f>
        <v>4590.020000000016</v>
      </c>
      <c r="AM70" s="34">
        <f t="shared" si="48"/>
        <v>5798.395199999996</v>
      </c>
      <c r="AN70" s="34">
        <f t="shared" si="49"/>
        <v>1101.6048000000037</v>
      </c>
      <c r="AO70" s="35" t="s">
        <v>297</v>
      </c>
      <c r="AP70" s="35" t="s">
        <v>310</v>
      </c>
      <c r="AQ70" s="26" t="s">
        <v>313</v>
      </c>
    </row>
    <row r="71" spans="1:43" ht="12.75">
      <c r="A71" s="4" t="s">
        <v>61</v>
      </c>
      <c r="B71" s="4"/>
      <c r="C71" s="4" t="s">
        <v>178</v>
      </c>
      <c r="D71" s="4" t="s">
        <v>211</v>
      </c>
      <c r="E71" s="4" t="s">
        <v>257</v>
      </c>
      <c r="F71" s="17">
        <v>4.4</v>
      </c>
      <c r="G71" s="17">
        <v>2890</v>
      </c>
      <c r="H71" s="17">
        <f t="shared" si="40"/>
        <v>10534.480000000009</v>
      </c>
      <c r="I71" s="17">
        <f t="shared" si="41"/>
        <v>2181.519999999993</v>
      </c>
      <c r="J71" s="17">
        <f t="shared" si="42"/>
        <v>12716.000000000002</v>
      </c>
      <c r="K71" s="17">
        <v>2.545</v>
      </c>
      <c r="L71" s="17">
        <f t="shared" si="43"/>
        <v>11.198</v>
      </c>
      <c r="M71" s="29" t="s">
        <v>279</v>
      </c>
      <c r="N71" s="29" t="s">
        <v>7</v>
      </c>
      <c r="O71" s="17">
        <f t="shared" si="44"/>
        <v>0</v>
      </c>
      <c r="Z71" s="17">
        <f t="shared" si="45"/>
        <v>0</v>
      </c>
      <c r="AA71" s="17">
        <f t="shared" si="46"/>
        <v>0</v>
      </c>
      <c r="AB71" s="17">
        <f t="shared" si="47"/>
        <v>12716.000000000002</v>
      </c>
      <c r="AD71" s="34">
        <v>21</v>
      </c>
      <c r="AE71" s="34">
        <f>G71*0.828442906574395</f>
        <v>2394.2000000000016</v>
      </c>
      <c r="AF71" s="34">
        <f>G71*(1-0.828442906574395)</f>
        <v>495.7999999999984</v>
      </c>
      <c r="AM71" s="34">
        <f t="shared" si="48"/>
        <v>10534.480000000009</v>
      </c>
      <c r="AN71" s="34">
        <f t="shared" si="49"/>
        <v>2181.519999999993</v>
      </c>
      <c r="AO71" s="35" t="s">
        <v>297</v>
      </c>
      <c r="AP71" s="35" t="s">
        <v>310</v>
      </c>
      <c r="AQ71" s="26" t="s">
        <v>313</v>
      </c>
    </row>
    <row r="72" spans="1:43" ht="12.75">
      <c r="A72" s="4" t="s">
        <v>62</v>
      </c>
      <c r="B72" s="4"/>
      <c r="C72" s="4" t="s">
        <v>179</v>
      </c>
      <c r="D72" s="4" t="s">
        <v>212</v>
      </c>
      <c r="E72" s="4" t="s">
        <v>257</v>
      </c>
      <c r="F72" s="17">
        <v>4.4</v>
      </c>
      <c r="G72" s="17">
        <v>491.925</v>
      </c>
      <c r="H72" s="17">
        <f t="shared" si="40"/>
        <v>261.9540000000003</v>
      </c>
      <c r="I72" s="17">
        <f t="shared" si="41"/>
        <v>1902.516</v>
      </c>
      <c r="J72" s="17">
        <f t="shared" si="42"/>
        <v>2164.4700000000003</v>
      </c>
      <c r="K72" s="17">
        <v>0.02</v>
      </c>
      <c r="L72" s="17">
        <f t="shared" si="43"/>
        <v>0.08800000000000001</v>
      </c>
      <c r="M72" s="29" t="s">
        <v>279</v>
      </c>
      <c r="N72" s="29" t="s">
        <v>7</v>
      </c>
      <c r="O72" s="17">
        <f t="shared" si="44"/>
        <v>0</v>
      </c>
      <c r="Z72" s="17">
        <f t="shared" si="45"/>
        <v>0</v>
      </c>
      <c r="AA72" s="17">
        <f t="shared" si="46"/>
        <v>0</v>
      </c>
      <c r="AB72" s="17">
        <f t="shared" si="47"/>
        <v>2164.4700000000003</v>
      </c>
      <c r="AD72" s="34">
        <v>21</v>
      </c>
      <c r="AE72" s="34">
        <f>G72*0.12102454642476</f>
        <v>59.53500000000007</v>
      </c>
      <c r="AF72" s="34">
        <f>G72*(1-0.12102454642476)</f>
        <v>432.38999999999993</v>
      </c>
      <c r="AM72" s="34">
        <f t="shared" si="48"/>
        <v>261.9540000000003</v>
      </c>
      <c r="AN72" s="34">
        <f t="shared" si="49"/>
        <v>1902.5159999999998</v>
      </c>
      <c r="AO72" s="35" t="s">
        <v>297</v>
      </c>
      <c r="AP72" s="35" t="s">
        <v>310</v>
      </c>
      <c r="AQ72" s="26" t="s">
        <v>313</v>
      </c>
    </row>
    <row r="73" spans="1:43" ht="12.75">
      <c r="A73" s="4" t="s">
        <v>63</v>
      </c>
      <c r="B73" s="4"/>
      <c r="C73" s="4" t="s">
        <v>180</v>
      </c>
      <c r="D73" s="4" t="s">
        <v>213</v>
      </c>
      <c r="E73" s="4" t="s">
        <v>255</v>
      </c>
      <c r="F73" s="17">
        <v>4.4</v>
      </c>
      <c r="G73" s="17">
        <v>185</v>
      </c>
      <c r="H73" s="17">
        <f t="shared" si="40"/>
        <v>567.9080000000002</v>
      </c>
      <c r="I73" s="17">
        <f t="shared" si="41"/>
        <v>246.09199999999987</v>
      </c>
      <c r="J73" s="17">
        <f t="shared" si="42"/>
        <v>814.0000000000001</v>
      </c>
      <c r="K73" s="17">
        <v>0.0002</v>
      </c>
      <c r="L73" s="17">
        <f t="shared" si="43"/>
        <v>0.0008800000000000001</v>
      </c>
      <c r="M73" s="29" t="s">
        <v>280</v>
      </c>
      <c r="N73" s="29" t="s">
        <v>7</v>
      </c>
      <c r="O73" s="17">
        <f t="shared" si="44"/>
        <v>0</v>
      </c>
      <c r="Z73" s="17">
        <f t="shared" si="45"/>
        <v>0</v>
      </c>
      <c r="AA73" s="17">
        <f t="shared" si="46"/>
        <v>0</v>
      </c>
      <c r="AB73" s="17">
        <f t="shared" si="47"/>
        <v>814.0000000000001</v>
      </c>
      <c r="AD73" s="34">
        <v>21</v>
      </c>
      <c r="AE73" s="34">
        <f>G73*0.697675675675676</f>
        <v>129.07000000000005</v>
      </c>
      <c r="AF73" s="34">
        <f>G73*(1-0.697675675675676)</f>
        <v>55.929999999999936</v>
      </c>
      <c r="AM73" s="34">
        <f t="shared" si="48"/>
        <v>567.9080000000002</v>
      </c>
      <c r="AN73" s="34">
        <f t="shared" si="49"/>
        <v>246.09199999999973</v>
      </c>
      <c r="AO73" s="35" t="s">
        <v>297</v>
      </c>
      <c r="AP73" s="35" t="s">
        <v>310</v>
      </c>
      <c r="AQ73" s="26" t="s">
        <v>313</v>
      </c>
    </row>
    <row r="74" spans="1:43" ht="12.75">
      <c r="A74" s="4" t="s">
        <v>64</v>
      </c>
      <c r="B74" s="4"/>
      <c r="C74" s="4" t="s">
        <v>181</v>
      </c>
      <c r="D74" s="4" t="s">
        <v>214</v>
      </c>
      <c r="E74" s="4" t="s">
        <v>259</v>
      </c>
      <c r="F74" s="17">
        <v>24.12</v>
      </c>
      <c r="G74" s="17">
        <v>530</v>
      </c>
      <c r="H74" s="17">
        <f t="shared" si="40"/>
        <v>0</v>
      </c>
      <c r="I74" s="17">
        <f t="shared" si="41"/>
        <v>12783.6</v>
      </c>
      <c r="J74" s="17">
        <f t="shared" si="42"/>
        <v>12783.6</v>
      </c>
      <c r="K74" s="17">
        <v>0</v>
      </c>
      <c r="L74" s="17">
        <f t="shared" si="43"/>
        <v>0</v>
      </c>
      <c r="M74" s="29" t="s">
        <v>280</v>
      </c>
      <c r="N74" s="29" t="s">
        <v>11</v>
      </c>
      <c r="O74" s="17">
        <f t="shared" si="44"/>
        <v>12783.6</v>
      </c>
      <c r="Z74" s="17">
        <f t="shared" si="45"/>
        <v>0</v>
      </c>
      <c r="AA74" s="17">
        <f t="shared" si="46"/>
        <v>0</v>
      </c>
      <c r="AB74" s="17">
        <f t="shared" si="47"/>
        <v>12783.6</v>
      </c>
      <c r="AD74" s="34">
        <v>21</v>
      </c>
      <c r="AE74" s="34">
        <f>G74*0</f>
        <v>0</v>
      </c>
      <c r="AF74" s="34">
        <f>G74*(1-0)</f>
        <v>530</v>
      </c>
      <c r="AM74" s="34">
        <f t="shared" si="48"/>
        <v>0</v>
      </c>
      <c r="AN74" s="34">
        <f t="shared" si="49"/>
        <v>12783.6</v>
      </c>
      <c r="AO74" s="35" t="s">
        <v>297</v>
      </c>
      <c r="AP74" s="35" t="s">
        <v>310</v>
      </c>
      <c r="AQ74" s="26" t="s">
        <v>313</v>
      </c>
    </row>
    <row r="75" spans="1:43" ht="12.75">
      <c r="A75" s="4" t="s">
        <v>65</v>
      </c>
      <c r="B75" s="4"/>
      <c r="C75" s="4" t="s">
        <v>182</v>
      </c>
      <c r="D75" s="4" t="s">
        <v>215</v>
      </c>
      <c r="E75" s="4" t="s">
        <v>259</v>
      </c>
      <c r="F75" s="17">
        <v>47.98</v>
      </c>
      <c r="G75" s="17">
        <v>50.6</v>
      </c>
      <c r="H75" s="17">
        <f t="shared" si="40"/>
        <v>0</v>
      </c>
      <c r="I75" s="17">
        <f t="shared" si="41"/>
        <v>2427.788</v>
      </c>
      <c r="J75" s="17">
        <f t="shared" si="42"/>
        <v>2427.788</v>
      </c>
      <c r="K75" s="17">
        <v>0</v>
      </c>
      <c r="L75" s="17">
        <f t="shared" si="43"/>
        <v>0</v>
      </c>
      <c r="M75" s="29" t="s">
        <v>281</v>
      </c>
      <c r="N75" s="29" t="s">
        <v>11</v>
      </c>
      <c r="O75" s="17">
        <f t="shared" si="44"/>
        <v>2427.788</v>
      </c>
      <c r="Z75" s="17">
        <f t="shared" si="45"/>
        <v>0</v>
      </c>
      <c r="AA75" s="17">
        <f t="shared" si="46"/>
        <v>0</v>
      </c>
      <c r="AB75" s="17">
        <f t="shared" si="47"/>
        <v>2427.788</v>
      </c>
      <c r="AD75" s="34">
        <v>21</v>
      </c>
      <c r="AE75" s="34">
        <f>G75*0</f>
        <v>0</v>
      </c>
      <c r="AF75" s="34">
        <f>G75*(1-0)</f>
        <v>50.6</v>
      </c>
      <c r="AM75" s="34">
        <f t="shared" si="48"/>
        <v>0</v>
      </c>
      <c r="AN75" s="34">
        <f t="shared" si="49"/>
        <v>2427.788</v>
      </c>
      <c r="AO75" s="35" t="s">
        <v>297</v>
      </c>
      <c r="AP75" s="35" t="s">
        <v>310</v>
      </c>
      <c r="AQ75" s="26" t="s">
        <v>313</v>
      </c>
    </row>
    <row r="76" spans="1:37" ht="12.75">
      <c r="A76" s="6"/>
      <c r="B76" s="13"/>
      <c r="C76" s="13" t="s">
        <v>193</v>
      </c>
      <c r="D76" s="72" t="s">
        <v>230</v>
      </c>
      <c r="E76" s="73"/>
      <c r="F76" s="73"/>
      <c r="G76" s="73"/>
      <c r="H76" s="37">
        <f>SUM(H77:H86)</f>
        <v>69476.188</v>
      </c>
      <c r="I76" s="37">
        <f>SUM(I77:I86)</f>
        <v>122895.07400000001</v>
      </c>
      <c r="J76" s="37">
        <f>H76+I76</f>
        <v>192371.262</v>
      </c>
      <c r="K76" s="26"/>
      <c r="L76" s="37">
        <f>SUM(L77:L86)</f>
        <v>223.734724</v>
      </c>
      <c r="M76" s="26"/>
      <c r="P76" s="37">
        <f>IF(Q76="PR",J76,SUM(O77:O86))</f>
        <v>52293.3</v>
      </c>
      <c r="Q76" s="26" t="s">
        <v>285</v>
      </c>
      <c r="R76" s="37">
        <f>IF(Q76="HS",H76,0)</f>
        <v>69476.188</v>
      </c>
      <c r="S76" s="37">
        <f>IF(Q76="HS",I76-P76,0)</f>
        <v>70601.774</v>
      </c>
      <c r="T76" s="37">
        <f>IF(Q76="PS",H76,0)</f>
        <v>0</v>
      </c>
      <c r="U76" s="37">
        <f>IF(Q76="PS",I76-P76,0)</f>
        <v>0</v>
      </c>
      <c r="V76" s="37">
        <f>IF(Q76="MP",H76,0)</f>
        <v>0</v>
      </c>
      <c r="W76" s="37">
        <f>IF(Q76="MP",I76-P76,0)</f>
        <v>0</v>
      </c>
      <c r="X76" s="37">
        <f>IF(Q76="OM",H76,0)</f>
        <v>0</v>
      </c>
      <c r="Y76" s="26"/>
      <c r="AI76" s="37">
        <f>SUM(Z77:Z86)</f>
        <v>0</v>
      </c>
      <c r="AJ76" s="37">
        <f>SUM(AA77:AA86)</f>
        <v>0</v>
      </c>
      <c r="AK76" s="37">
        <f>SUM(AB77:AB86)</f>
        <v>192371.26200000002</v>
      </c>
    </row>
    <row r="77" spans="1:43" ht="12.75">
      <c r="A77" s="4" t="s">
        <v>66</v>
      </c>
      <c r="B77" s="4"/>
      <c r="C77" s="4" t="s">
        <v>171</v>
      </c>
      <c r="D77" s="4" t="s">
        <v>204</v>
      </c>
      <c r="E77" s="4" t="s">
        <v>255</v>
      </c>
      <c r="F77" s="17">
        <v>145.2</v>
      </c>
      <c r="G77" s="17">
        <v>155</v>
      </c>
      <c r="H77" s="17">
        <f aca="true" t="shared" si="50" ref="H77:H86">F77*AE77</f>
        <v>416.72400000000084</v>
      </c>
      <c r="I77" s="17">
        <f aca="true" t="shared" si="51" ref="I77:I86">J77-H77</f>
        <v>22089.275999999998</v>
      </c>
      <c r="J77" s="17">
        <f aca="true" t="shared" si="52" ref="J77:J86">F77*G77</f>
        <v>22506</v>
      </c>
      <c r="K77" s="17">
        <v>0.52</v>
      </c>
      <c r="L77" s="17">
        <f aca="true" t="shared" si="53" ref="L77:L86">F77*K77</f>
        <v>75.50399999999999</v>
      </c>
      <c r="M77" s="29" t="s">
        <v>279</v>
      </c>
      <c r="N77" s="29" t="s">
        <v>9</v>
      </c>
      <c r="O77" s="17">
        <f aca="true" t="shared" si="54" ref="O77:O86">IF(N77="5",I77,0)</f>
        <v>0</v>
      </c>
      <c r="Z77" s="17">
        <f aca="true" t="shared" si="55" ref="Z77:Z86">IF(AD77=0,J77,0)</f>
        <v>0</v>
      </c>
      <c r="AA77" s="17">
        <f aca="true" t="shared" si="56" ref="AA77:AA86">IF(AD77=15,J77,0)</f>
        <v>0</v>
      </c>
      <c r="AB77" s="17">
        <f aca="true" t="shared" si="57" ref="AB77:AB86">IF(AD77=21,J77,0)</f>
        <v>22506</v>
      </c>
      <c r="AD77" s="34">
        <v>21</v>
      </c>
      <c r="AE77" s="34">
        <f>G77*0.0185161290322581</f>
        <v>2.870000000000006</v>
      </c>
      <c r="AF77" s="34">
        <f>G77*(1-0.0185161290322581)</f>
        <v>152.13</v>
      </c>
      <c r="AM77" s="34">
        <f aca="true" t="shared" si="58" ref="AM77:AM86">F77*AE77</f>
        <v>416.72400000000084</v>
      </c>
      <c r="AN77" s="34">
        <f aca="true" t="shared" si="59" ref="AN77:AN86">F77*AF77</f>
        <v>22089.275999999998</v>
      </c>
      <c r="AO77" s="35" t="s">
        <v>298</v>
      </c>
      <c r="AP77" s="35" t="s">
        <v>310</v>
      </c>
      <c r="AQ77" s="26" t="s">
        <v>313</v>
      </c>
    </row>
    <row r="78" spans="1:43" ht="12.75">
      <c r="A78" s="4" t="s">
        <v>67</v>
      </c>
      <c r="B78" s="4"/>
      <c r="C78" s="4" t="s">
        <v>172</v>
      </c>
      <c r="D78" s="4" t="s">
        <v>205</v>
      </c>
      <c r="E78" s="4" t="s">
        <v>256</v>
      </c>
      <c r="F78" s="17">
        <v>242</v>
      </c>
      <c r="G78" s="17">
        <v>28.8</v>
      </c>
      <c r="H78" s="17">
        <f t="shared" si="50"/>
        <v>0</v>
      </c>
      <c r="I78" s="17">
        <f t="shared" si="51"/>
        <v>6969.6</v>
      </c>
      <c r="J78" s="17">
        <f t="shared" si="52"/>
        <v>6969.6</v>
      </c>
      <c r="K78" s="17">
        <v>0.017</v>
      </c>
      <c r="L78" s="17">
        <f t="shared" si="53"/>
        <v>4.114</v>
      </c>
      <c r="M78" s="29" t="s">
        <v>279</v>
      </c>
      <c r="N78" s="29" t="s">
        <v>8</v>
      </c>
      <c r="O78" s="17">
        <f t="shared" si="54"/>
        <v>0</v>
      </c>
      <c r="Z78" s="17">
        <f t="shared" si="55"/>
        <v>0</v>
      </c>
      <c r="AA78" s="17">
        <f t="shared" si="56"/>
        <v>0</v>
      </c>
      <c r="AB78" s="17">
        <f t="shared" si="57"/>
        <v>6969.6</v>
      </c>
      <c r="AD78" s="34">
        <v>21</v>
      </c>
      <c r="AE78" s="34">
        <f>G78*0</f>
        <v>0</v>
      </c>
      <c r="AF78" s="34">
        <f>G78*(1-0)</f>
        <v>28.8</v>
      </c>
      <c r="AM78" s="34">
        <f t="shared" si="58"/>
        <v>0</v>
      </c>
      <c r="AN78" s="34">
        <f t="shared" si="59"/>
        <v>6969.6</v>
      </c>
      <c r="AO78" s="35" t="s">
        <v>298</v>
      </c>
      <c r="AP78" s="35" t="s">
        <v>310</v>
      </c>
      <c r="AQ78" s="26" t="s">
        <v>313</v>
      </c>
    </row>
    <row r="79" spans="1:43" ht="12.75">
      <c r="A79" s="4" t="s">
        <v>68</v>
      </c>
      <c r="B79" s="4"/>
      <c r="C79" s="4" t="s">
        <v>173</v>
      </c>
      <c r="D79" s="4" t="s">
        <v>206</v>
      </c>
      <c r="E79" s="4" t="s">
        <v>257</v>
      </c>
      <c r="F79" s="17">
        <v>21.75</v>
      </c>
      <c r="G79" s="17">
        <v>155</v>
      </c>
      <c r="H79" s="17">
        <f t="shared" si="50"/>
        <v>0</v>
      </c>
      <c r="I79" s="17">
        <f t="shared" si="51"/>
        <v>3371.25</v>
      </c>
      <c r="J79" s="17">
        <f t="shared" si="52"/>
        <v>3371.25</v>
      </c>
      <c r="K79" s="17">
        <v>1.6</v>
      </c>
      <c r="L79" s="17">
        <f t="shared" si="53"/>
        <v>34.800000000000004</v>
      </c>
      <c r="M79" s="29" t="s">
        <v>280</v>
      </c>
      <c r="N79" s="29" t="s">
        <v>7</v>
      </c>
      <c r="O79" s="17">
        <f t="shared" si="54"/>
        <v>0</v>
      </c>
      <c r="Z79" s="17">
        <f t="shared" si="55"/>
        <v>0</v>
      </c>
      <c r="AA79" s="17">
        <f t="shared" si="56"/>
        <v>0</v>
      </c>
      <c r="AB79" s="17">
        <f t="shared" si="57"/>
        <v>3371.25</v>
      </c>
      <c r="AD79" s="34">
        <v>21</v>
      </c>
      <c r="AE79" s="34">
        <f>G79*0</f>
        <v>0</v>
      </c>
      <c r="AF79" s="34">
        <f>G79*(1-0)</f>
        <v>155</v>
      </c>
      <c r="AM79" s="34">
        <f t="shared" si="58"/>
        <v>0</v>
      </c>
      <c r="AN79" s="34">
        <f t="shared" si="59"/>
        <v>3371.25</v>
      </c>
      <c r="AO79" s="35" t="s">
        <v>298</v>
      </c>
      <c r="AP79" s="35" t="s">
        <v>310</v>
      </c>
      <c r="AQ79" s="26" t="s">
        <v>313</v>
      </c>
    </row>
    <row r="80" spans="1:43" ht="12.75">
      <c r="A80" s="4" t="s">
        <v>69</v>
      </c>
      <c r="B80" s="4"/>
      <c r="C80" s="4" t="s">
        <v>186</v>
      </c>
      <c r="D80" s="4" t="s">
        <v>225</v>
      </c>
      <c r="E80" s="4" t="s">
        <v>255</v>
      </c>
      <c r="F80" s="17">
        <v>145.2</v>
      </c>
      <c r="G80" s="17">
        <v>124.56</v>
      </c>
      <c r="H80" s="17">
        <f t="shared" si="50"/>
        <v>14662.295999999997</v>
      </c>
      <c r="I80" s="17">
        <f t="shared" si="51"/>
        <v>3423.8160000000007</v>
      </c>
      <c r="J80" s="17">
        <f t="shared" si="52"/>
        <v>18086.111999999997</v>
      </c>
      <c r="K80" s="17">
        <v>0.18907</v>
      </c>
      <c r="L80" s="17">
        <f t="shared" si="53"/>
        <v>27.452963999999994</v>
      </c>
      <c r="M80" s="29" t="s">
        <v>279</v>
      </c>
      <c r="N80" s="29" t="s">
        <v>7</v>
      </c>
      <c r="O80" s="17">
        <f t="shared" si="54"/>
        <v>0</v>
      </c>
      <c r="Z80" s="17">
        <f t="shared" si="55"/>
        <v>0</v>
      </c>
      <c r="AA80" s="17">
        <f t="shared" si="56"/>
        <v>0</v>
      </c>
      <c r="AB80" s="17">
        <f t="shared" si="57"/>
        <v>18086.111999999997</v>
      </c>
      <c r="AD80" s="34">
        <v>21</v>
      </c>
      <c r="AE80" s="34">
        <f>G80*0.810693641618497</f>
        <v>100.97999999999999</v>
      </c>
      <c r="AF80" s="34">
        <f>G80*(1-0.810693641618497)</f>
        <v>23.580000000000016</v>
      </c>
      <c r="AM80" s="34">
        <f t="shared" si="58"/>
        <v>14662.295999999997</v>
      </c>
      <c r="AN80" s="34">
        <f t="shared" si="59"/>
        <v>3423.816000000002</v>
      </c>
      <c r="AO80" s="35" t="s">
        <v>298</v>
      </c>
      <c r="AP80" s="35" t="s">
        <v>310</v>
      </c>
      <c r="AQ80" s="26" t="s">
        <v>313</v>
      </c>
    </row>
    <row r="81" spans="1:43" ht="12.75">
      <c r="A81" s="4" t="s">
        <v>70</v>
      </c>
      <c r="B81" s="4"/>
      <c r="C81" s="4" t="s">
        <v>175</v>
      </c>
      <c r="D81" s="4" t="s">
        <v>208</v>
      </c>
      <c r="E81" s="4" t="s">
        <v>256</v>
      </c>
      <c r="F81" s="17">
        <v>242</v>
      </c>
      <c r="G81" s="17">
        <v>178.5</v>
      </c>
      <c r="H81" s="17">
        <f t="shared" si="50"/>
        <v>27549.279999999977</v>
      </c>
      <c r="I81" s="17">
        <f t="shared" si="51"/>
        <v>15647.720000000023</v>
      </c>
      <c r="J81" s="17">
        <f t="shared" si="52"/>
        <v>43197</v>
      </c>
      <c r="K81" s="17">
        <v>0.14424</v>
      </c>
      <c r="L81" s="17">
        <f t="shared" si="53"/>
        <v>34.90608</v>
      </c>
      <c r="M81" s="29" t="s">
        <v>279</v>
      </c>
      <c r="N81" s="29" t="s">
        <v>7</v>
      </c>
      <c r="O81" s="17">
        <f t="shared" si="54"/>
        <v>0</v>
      </c>
      <c r="Z81" s="17">
        <f t="shared" si="55"/>
        <v>0</v>
      </c>
      <c r="AA81" s="17">
        <f t="shared" si="56"/>
        <v>0</v>
      </c>
      <c r="AB81" s="17">
        <f t="shared" si="57"/>
        <v>43197</v>
      </c>
      <c r="AD81" s="34">
        <v>21</v>
      </c>
      <c r="AE81" s="34">
        <f>G81*0.637759103641456</f>
        <v>113.8399999999999</v>
      </c>
      <c r="AF81" s="34">
        <f>G81*(1-0.637759103641456)</f>
        <v>64.6600000000001</v>
      </c>
      <c r="AM81" s="34">
        <f t="shared" si="58"/>
        <v>27549.279999999977</v>
      </c>
      <c r="AN81" s="34">
        <f t="shared" si="59"/>
        <v>15647.720000000023</v>
      </c>
      <c r="AO81" s="35" t="s">
        <v>298</v>
      </c>
      <c r="AP81" s="35" t="s">
        <v>310</v>
      </c>
      <c r="AQ81" s="26" t="s">
        <v>313</v>
      </c>
    </row>
    <row r="82" spans="1:43" ht="12.75">
      <c r="A82" s="5" t="s">
        <v>71</v>
      </c>
      <c r="B82" s="5"/>
      <c r="C82" s="5" t="s">
        <v>176</v>
      </c>
      <c r="D82" s="5" t="s">
        <v>209</v>
      </c>
      <c r="E82" s="5" t="s">
        <v>258</v>
      </c>
      <c r="F82" s="18">
        <v>840</v>
      </c>
      <c r="G82" s="18">
        <v>14.6</v>
      </c>
      <c r="H82" s="18">
        <f t="shared" si="50"/>
        <v>12264</v>
      </c>
      <c r="I82" s="18">
        <f t="shared" si="51"/>
        <v>0</v>
      </c>
      <c r="J82" s="18">
        <f t="shared" si="52"/>
        <v>12264</v>
      </c>
      <c r="K82" s="18">
        <v>0.0052</v>
      </c>
      <c r="L82" s="18">
        <f t="shared" si="53"/>
        <v>4.367999999999999</v>
      </c>
      <c r="M82" s="30" t="s">
        <v>279</v>
      </c>
      <c r="N82" s="30" t="s">
        <v>282</v>
      </c>
      <c r="O82" s="18">
        <f t="shared" si="54"/>
        <v>0</v>
      </c>
      <c r="Z82" s="18">
        <f t="shared" si="55"/>
        <v>0</v>
      </c>
      <c r="AA82" s="18">
        <f t="shared" si="56"/>
        <v>0</v>
      </c>
      <c r="AB82" s="18">
        <f t="shared" si="57"/>
        <v>12264</v>
      </c>
      <c r="AD82" s="34">
        <v>21</v>
      </c>
      <c r="AE82" s="34">
        <f>G82*1</f>
        <v>14.6</v>
      </c>
      <c r="AF82" s="34">
        <f>G82*(1-1)</f>
        <v>0</v>
      </c>
      <c r="AM82" s="34">
        <f t="shared" si="58"/>
        <v>12264</v>
      </c>
      <c r="AN82" s="34">
        <f t="shared" si="59"/>
        <v>0</v>
      </c>
      <c r="AO82" s="35" t="s">
        <v>298</v>
      </c>
      <c r="AP82" s="35" t="s">
        <v>310</v>
      </c>
      <c r="AQ82" s="26" t="s">
        <v>313</v>
      </c>
    </row>
    <row r="83" spans="1:43" ht="12.75">
      <c r="A83" s="4" t="s">
        <v>72</v>
      </c>
      <c r="B83" s="4"/>
      <c r="C83" s="4" t="s">
        <v>194</v>
      </c>
      <c r="D83" s="4" t="s">
        <v>231</v>
      </c>
      <c r="E83" s="4" t="s">
        <v>255</v>
      </c>
      <c r="F83" s="17">
        <v>87</v>
      </c>
      <c r="G83" s="17">
        <v>20</v>
      </c>
      <c r="H83" s="17">
        <f t="shared" si="50"/>
        <v>0</v>
      </c>
      <c r="I83" s="17">
        <f t="shared" si="51"/>
        <v>1740</v>
      </c>
      <c r="J83" s="17">
        <f t="shared" si="52"/>
        <v>1740</v>
      </c>
      <c r="K83" s="17">
        <v>0.1</v>
      </c>
      <c r="L83" s="17">
        <f t="shared" si="53"/>
        <v>8.700000000000001</v>
      </c>
      <c r="M83" s="29" t="s">
        <v>279</v>
      </c>
      <c r="N83" s="29" t="s">
        <v>7</v>
      </c>
      <c r="O83" s="17">
        <f t="shared" si="54"/>
        <v>0</v>
      </c>
      <c r="Z83" s="17">
        <f t="shared" si="55"/>
        <v>0</v>
      </c>
      <c r="AA83" s="17">
        <f t="shared" si="56"/>
        <v>0</v>
      </c>
      <c r="AB83" s="17">
        <f t="shared" si="57"/>
        <v>1740</v>
      </c>
      <c r="AD83" s="34">
        <v>21</v>
      </c>
      <c r="AE83" s="34">
        <f>G83*0</f>
        <v>0</v>
      </c>
      <c r="AF83" s="34">
        <f>G83*(1-0)</f>
        <v>20</v>
      </c>
      <c r="AM83" s="34">
        <f t="shared" si="58"/>
        <v>0</v>
      </c>
      <c r="AN83" s="34">
        <f t="shared" si="59"/>
        <v>1740</v>
      </c>
      <c r="AO83" s="35" t="s">
        <v>298</v>
      </c>
      <c r="AP83" s="35" t="s">
        <v>310</v>
      </c>
      <c r="AQ83" s="26" t="s">
        <v>313</v>
      </c>
    </row>
    <row r="84" spans="1:43" ht="12.75">
      <c r="A84" s="4" t="s">
        <v>73</v>
      </c>
      <c r="B84" s="4"/>
      <c r="C84" s="4" t="s">
        <v>195</v>
      </c>
      <c r="D84" s="4" t="s">
        <v>232</v>
      </c>
      <c r="E84" s="4" t="s">
        <v>255</v>
      </c>
      <c r="F84" s="17">
        <v>145.2</v>
      </c>
      <c r="G84" s="17">
        <v>220</v>
      </c>
      <c r="H84" s="17">
        <f t="shared" si="50"/>
        <v>14583.888000000014</v>
      </c>
      <c r="I84" s="17">
        <f t="shared" si="51"/>
        <v>17360.111999999983</v>
      </c>
      <c r="J84" s="17">
        <f t="shared" si="52"/>
        <v>31943.999999999996</v>
      </c>
      <c r="K84" s="17">
        <v>0.2334</v>
      </c>
      <c r="L84" s="17">
        <f t="shared" si="53"/>
        <v>33.88968</v>
      </c>
      <c r="M84" s="29" t="s">
        <v>281</v>
      </c>
      <c r="N84" s="29" t="s">
        <v>7</v>
      </c>
      <c r="O84" s="17">
        <f t="shared" si="54"/>
        <v>0</v>
      </c>
      <c r="Z84" s="17">
        <f t="shared" si="55"/>
        <v>0</v>
      </c>
      <c r="AA84" s="17">
        <f t="shared" si="56"/>
        <v>0</v>
      </c>
      <c r="AB84" s="17">
        <f t="shared" si="57"/>
        <v>31943.999999999996</v>
      </c>
      <c r="AD84" s="34">
        <v>21</v>
      </c>
      <c r="AE84" s="34">
        <f>G84*0.456545454545455</f>
        <v>100.4400000000001</v>
      </c>
      <c r="AF84" s="34">
        <f>G84*(1-0.456545454545455)</f>
        <v>119.55999999999989</v>
      </c>
      <c r="AM84" s="34">
        <f t="shared" si="58"/>
        <v>14583.888000000014</v>
      </c>
      <c r="AN84" s="34">
        <f t="shared" si="59"/>
        <v>17360.111999999983</v>
      </c>
      <c r="AO84" s="35" t="s">
        <v>298</v>
      </c>
      <c r="AP84" s="35" t="s">
        <v>310</v>
      </c>
      <c r="AQ84" s="26" t="s">
        <v>313</v>
      </c>
    </row>
    <row r="85" spans="1:43" ht="12.75">
      <c r="A85" s="4" t="s">
        <v>74</v>
      </c>
      <c r="B85" s="4"/>
      <c r="C85" s="4" t="s">
        <v>181</v>
      </c>
      <c r="D85" s="4" t="s">
        <v>233</v>
      </c>
      <c r="E85" s="4" t="s">
        <v>259</v>
      </c>
      <c r="F85" s="17">
        <v>79.62</v>
      </c>
      <c r="G85" s="17">
        <v>530</v>
      </c>
      <c r="H85" s="17">
        <f t="shared" si="50"/>
        <v>0</v>
      </c>
      <c r="I85" s="17">
        <f t="shared" si="51"/>
        <v>42198.600000000006</v>
      </c>
      <c r="J85" s="17">
        <f t="shared" si="52"/>
        <v>42198.600000000006</v>
      </c>
      <c r="K85" s="17">
        <v>0</v>
      </c>
      <c r="L85" s="17">
        <f t="shared" si="53"/>
        <v>0</v>
      </c>
      <c r="M85" s="29" t="s">
        <v>280</v>
      </c>
      <c r="N85" s="29" t="s">
        <v>11</v>
      </c>
      <c r="O85" s="17">
        <f t="shared" si="54"/>
        <v>42198.600000000006</v>
      </c>
      <c r="Z85" s="17">
        <f t="shared" si="55"/>
        <v>0</v>
      </c>
      <c r="AA85" s="17">
        <f t="shared" si="56"/>
        <v>0</v>
      </c>
      <c r="AB85" s="17">
        <f t="shared" si="57"/>
        <v>42198.600000000006</v>
      </c>
      <c r="AD85" s="34">
        <v>21</v>
      </c>
      <c r="AE85" s="34">
        <f>G85*0</f>
        <v>0</v>
      </c>
      <c r="AF85" s="34">
        <f>G85*(1-0)</f>
        <v>530</v>
      </c>
      <c r="AM85" s="34">
        <f t="shared" si="58"/>
        <v>0</v>
      </c>
      <c r="AN85" s="34">
        <f t="shared" si="59"/>
        <v>42198.600000000006</v>
      </c>
      <c r="AO85" s="35" t="s">
        <v>298</v>
      </c>
      <c r="AP85" s="35" t="s">
        <v>310</v>
      </c>
      <c r="AQ85" s="26" t="s">
        <v>313</v>
      </c>
    </row>
    <row r="86" spans="1:43" ht="12.75">
      <c r="A86" s="4" t="s">
        <v>75</v>
      </c>
      <c r="B86" s="4"/>
      <c r="C86" s="4" t="s">
        <v>182</v>
      </c>
      <c r="D86" s="4" t="s">
        <v>215</v>
      </c>
      <c r="E86" s="4" t="s">
        <v>259</v>
      </c>
      <c r="F86" s="17">
        <v>199.5</v>
      </c>
      <c r="G86" s="17">
        <v>50.6</v>
      </c>
      <c r="H86" s="17">
        <f t="shared" si="50"/>
        <v>0</v>
      </c>
      <c r="I86" s="17">
        <f t="shared" si="51"/>
        <v>10094.7</v>
      </c>
      <c r="J86" s="17">
        <f t="shared" si="52"/>
        <v>10094.7</v>
      </c>
      <c r="K86" s="17">
        <v>0</v>
      </c>
      <c r="L86" s="17">
        <f t="shared" si="53"/>
        <v>0</v>
      </c>
      <c r="M86" s="29" t="s">
        <v>281</v>
      </c>
      <c r="N86" s="29" t="s">
        <v>11</v>
      </c>
      <c r="O86" s="17">
        <f t="shared" si="54"/>
        <v>10094.7</v>
      </c>
      <c r="Z86" s="17">
        <f t="shared" si="55"/>
        <v>0</v>
      </c>
      <c r="AA86" s="17">
        <f t="shared" si="56"/>
        <v>0</v>
      </c>
      <c r="AB86" s="17">
        <f t="shared" si="57"/>
        <v>10094.7</v>
      </c>
      <c r="AD86" s="34">
        <v>21</v>
      </c>
      <c r="AE86" s="34">
        <f>G86*0</f>
        <v>0</v>
      </c>
      <c r="AF86" s="34">
        <f>G86*(1-0)</f>
        <v>50.6</v>
      </c>
      <c r="AM86" s="34">
        <f t="shared" si="58"/>
        <v>0</v>
      </c>
      <c r="AN86" s="34">
        <f t="shared" si="59"/>
        <v>10094.7</v>
      </c>
      <c r="AO86" s="35" t="s">
        <v>298</v>
      </c>
      <c r="AP86" s="35" t="s">
        <v>310</v>
      </c>
      <c r="AQ86" s="26" t="s">
        <v>313</v>
      </c>
    </row>
    <row r="87" spans="1:37" ht="12.75">
      <c r="A87" s="6"/>
      <c r="B87" s="13"/>
      <c r="C87" s="13" t="s">
        <v>16</v>
      </c>
      <c r="D87" s="72" t="s">
        <v>234</v>
      </c>
      <c r="E87" s="73"/>
      <c r="F87" s="73"/>
      <c r="G87" s="73"/>
      <c r="H87" s="37">
        <f>SUM(H88:H97)</f>
        <v>17250.839999999997</v>
      </c>
      <c r="I87" s="37">
        <f>SUM(I88:I97)</f>
        <v>28850.830000000005</v>
      </c>
      <c r="J87" s="37">
        <f>H87+I87</f>
        <v>46101.67</v>
      </c>
      <c r="K87" s="26"/>
      <c r="L87" s="37">
        <f>SUM(L88:L97)</f>
        <v>57.29532</v>
      </c>
      <c r="M87" s="26"/>
      <c r="P87" s="37">
        <f>IF(Q87="PR",J87,SUM(O88:O97))</f>
        <v>10858.51</v>
      </c>
      <c r="Q87" s="26" t="s">
        <v>285</v>
      </c>
      <c r="R87" s="37">
        <f>IF(Q87="HS",H87,0)</f>
        <v>17250.839999999997</v>
      </c>
      <c r="S87" s="37">
        <f>IF(Q87="HS",I87-P87,0)</f>
        <v>17992.320000000007</v>
      </c>
      <c r="T87" s="37">
        <f>IF(Q87="PS",H87,0)</f>
        <v>0</v>
      </c>
      <c r="U87" s="37">
        <f>IF(Q87="PS",I87-P87,0)</f>
        <v>0</v>
      </c>
      <c r="V87" s="37">
        <f>IF(Q87="MP",H87,0)</f>
        <v>0</v>
      </c>
      <c r="W87" s="37">
        <f>IF(Q87="MP",I87-P87,0)</f>
        <v>0</v>
      </c>
      <c r="X87" s="37">
        <f>IF(Q87="OM",H87,0)</f>
        <v>0</v>
      </c>
      <c r="Y87" s="26"/>
      <c r="AI87" s="37">
        <f>SUM(Z88:Z97)</f>
        <v>0</v>
      </c>
      <c r="AJ87" s="37">
        <f>SUM(AA88:AA97)</f>
        <v>0</v>
      </c>
      <c r="AK87" s="37">
        <f>SUM(AB88:AB97)</f>
        <v>46101.670000000006</v>
      </c>
    </row>
    <row r="88" spans="1:43" ht="12.75">
      <c r="A88" s="4" t="s">
        <v>76</v>
      </c>
      <c r="B88" s="4"/>
      <c r="C88" s="4" t="s">
        <v>171</v>
      </c>
      <c r="D88" s="4" t="s">
        <v>204</v>
      </c>
      <c r="E88" s="4" t="s">
        <v>255</v>
      </c>
      <c r="F88" s="17">
        <v>36</v>
      </c>
      <c r="G88" s="17">
        <v>155</v>
      </c>
      <c r="H88" s="17">
        <f aca="true" t="shared" si="60" ref="H88:H97">F88*AE88</f>
        <v>103.3200000000002</v>
      </c>
      <c r="I88" s="17">
        <f aca="true" t="shared" si="61" ref="I88:I97">J88-H88</f>
        <v>5476.679999999999</v>
      </c>
      <c r="J88" s="17">
        <f aca="true" t="shared" si="62" ref="J88:J97">F88*G88</f>
        <v>5580</v>
      </c>
      <c r="K88" s="17">
        <v>0.42</v>
      </c>
      <c r="L88" s="17">
        <f aca="true" t="shared" si="63" ref="L88:L97">F88*K88</f>
        <v>15.12</v>
      </c>
      <c r="M88" s="29" t="s">
        <v>279</v>
      </c>
      <c r="N88" s="29" t="s">
        <v>9</v>
      </c>
      <c r="O88" s="17">
        <f aca="true" t="shared" si="64" ref="O88:O97">IF(N88="5",I88,0)</f>
        <v>0</v>
      </c>
      <c r="Z88" s="17">
        <f aca="true" t="shared" si="65" ref="Z88:Z97">IF(AD88=0,J88,0)</f>
        <v>0</v>
      </c>
      <c r="AA88" s="17">
        <f aca="true" t="shared" si="66" ref="AA88:AA97">IF(AD88=15,J88,0)</f>
        <v>0</v>
      </c>
      <c r="AB88" s="17">
        <f aca="true" t="shared" si="67" ref="AB88:AB97">IF(AD88=21,J88,0)</f>
        <v>5580</v>
      </c>
      <c r="AD88" s="34">
        <v>21</v>
      </c>
      <c r="AE88" s="34">
        <f>G88*0.0185161290322581</f>
        <v>2.870000000000006</v>
      </c>
      <c r="AF88" s="34">
        <f>G88*(1-0.0185161290322581)</f>
        <v>152.13</v>
      </c>
      <c r="AM88" s="34">
        <f aca="true" t="shared" si="68" ref="AM88:AM97">F88*AE88</f>
        <v>103.3200000000002</v>
      </c>
      <c r="AN88" s="34">
        <f aca="true" t="shared" si="69" ref="AN88:AN97">F88*AF88</f>
        <v>5476.68</v>
      </c>
      <c r="AO88" s="35" t="s">
        <v>299</v>
      </c>
      <c r="AP88" s="35" t="s">
        <v>311</v>
      </c>
      <c r="AQ88" s="26" t="s">
        <v>313</v>
      </c>
    </row>
    <row r="89" spans="1:43" ht="12.75">
      <c r="A89" s="4" t="s">
        <v>77</v>
      </c>
      <c r="B89" s="4"/>
      <c r="C89" s="4" t="s">
        <v>172</v>
      </c>
      <c r="D89" s="4" t="s">
        <v>205</v>
      </c>
      <c r="E89" s="4" t="s">
        <v>256</v>
      </c>
      <c r="F89" s="17">
        <v>60</v>
      </c>
      <c r="G89" s="17">
        <v>28.8</v>
      </c>
      <c r="H89" s="17">
        <f t="shared" si="60"/>
        <v>0</v>
      </c>
      <c r="I89" s="17">
        <f t="shared" si="61"/>
        <v>1728</v>
      </c>
      <c r="J89" s="17">
        <f t="shared" si="62"/>
        <v>1728</v>
      </c>
      <c r="K89" s="17">
        <v>0.017</v>
      </c>
      <c r="L89" s="17">
        <f t="shared" si="63"/>
        <v>1.02</v>
      </c>
      <c r="M89" s="29" t="s">
        <v>279</v>
      </c>
      <c r="N89" s="29" t="s">
        <v>8</v>
      </c>
      <c r="O89" s="17">
        <f t="shared" si="64"/>
        <v>0</v>
      </c>
      <c r="Z89" s="17">
        <f t="shared" si="65"/>
        <v>0</v>
      </c>
      <c r="AA89" s="17">
        <f t="shared" si="66"/>
        <v>0</v>
      </c>
      <c r="AB89" s="17">
        <f t="shared" si="67"/>
        <v>1728</v>
      </c>
      <c r="AD89" s="34">
        <v>21</v>
      </c>
      <c r="AE89" s="34">
        <f>G89*0</f>
        <v>0</v>
      </c>
      <c r="AF89" s="34">
        <f>G89*(1-0)</f>
        <v>28.8</v>
      </c>
      <c r="AM89" s="34">
        <f t="shared" si="68"/>
        <v>0</v>
      </c>
      <c r="AN89" s="34">
        <f t="shared" si="69"/>
        <v>1728</v>
      </c>
      <c r="AO89" s="35" t="s">
        <v>299</v>
      </c>
      <c r="AP89" s="35" t="s">
        <v>311</v>
      </c>
      <c r="AQ89" s="26" t="s">
        <v>313</v>
      </c>
    </row>
    <row r="90" spans="1:43" ht="12.75">
      <c r="A90" s="4" t="s">
        <v>78</v>
      </c>
      <c r="B90" s="4"/>
      <c r="C90" s="4" t="s">
        <v>173</v>
      </c>
      <c r="D90" s="4" t="s">
        <v>206</v>
      </c>
      <c r="E90" s="4" t="s">
        <v>257</v>
      </c>
      <c r="F90" s="17">
        <v>9</v>
      </c>
      <c r="G90" s="17">
        <v>155</v>
      </c>
      <c r="H90" s="17">
        <f t="shared" si="60"/>
        <v>0</v>
      </c>
      <c r="I90" s="17">
        <f t="shared" si="61"/>
        <v>1395</v>
      </c>
      <c r="J90" s="17">
        <f t="shared" si="62"/>
        <v>1395</v>
      </c>
      <c r="K90" s="17">
        <v>1.6</v>
      </c>
      <c r="L90" s="17">
        <f t="shared" si="63"/>
        <v>14.4</v>
      </c>
      <c r="M90" s="29" t="s">
        <v>280</v>
      </c>
      <c r="N90" s="29" t="s">
        <v>7</v>
      </c>
      <c r="O90" s="17">
        <f t="shared" si="64"/>
        <v>0</v>
      </c>
      <c r="Z90" s="17">
        <f t="shared" si="65"/>
        <v>0</v>
      </c>
      <c r="AA90" s="17">
        <f t="shared" si="66"/>
        <v>0</v>
      </c>
      <c r="AB90" s="17">
        <f t="shared" si="67"/>
        <v>1395</v>
      </c>
      <c r="AD90" s="34">
        <v>21</v>
      </c>
      <c r="AE90" s="34">
        <f>G90*0</f>
        <v>0</v>
      </c>
      <c r="AF90" s="34">
        <f>G90*(1-0)</f>
        <v>155</v>
      </c>
      <c r="AM90" s="34">
        <f t="shared" si="68"/>
        <v>0</v>
      </c>
      <c r="AN90" s="34">
        <f t="shared" si="69"/>
        <v>1395</v>
      </c>
      <c r="AO90" s="35" t="s">
        <v>299</v>
      </c>
      <c r="AP90" s="35" t="s">
        <v>311</v>
      </c>
      <c r="AQ90" s="26" t="s">
        <v>313</v>
      </c>
    </row>
    <row r="91" spans="1:43" ht="12.75">
      <c r="A91" s="4" t="s">
        <v>79</v>
      </c>
      <c r="B91" s="4"/>
      <c r="C91" s="4" t="s">
        <v>186</v>
      </c>
      <c r="D91" s="4" t="s">
        <v>225</v>
      </c>
      <c r="E91" s="4" t="s">
        <v>255</v>
      </c>
      <c r="F91" s="17">
        <v>36</v>
      </c>
      <c r="G91" s="17">
        <v>124.56</v>
      </c>
      <c r="H91" s="17">
        <f t="shared" si="60"/>
        <v>3635.2799999999997</v>
      </c>
      <c r="I91" s="17">
        <f t="shared" si="61"/>
        <v>848.8800000000001</v>
      </c>
      <c r="J91" s="17">
        <f t="shared" si="62"/>
        <v>4484.16</v>
      </c>
      <c r="K91" s="17">
        <v>0.18907</v>
      </c>
      <c r="L91" s="17">
        <f t="shared" si="63"/>
        <v>6.80652</v>
      </c>
      <c r="M91" s="29" t="s">
        <v>279</v>
      </c>
      <c r="N91" s="29" t="s">
        <v>7</v>
      </c>
      <c r="O91" s="17">
        <f t="shared" si="64"/>
        <v>0</v>
      </c>
      <c r="Z91" s="17">
        <f t="shared" si="65"/>
        <v>0</v>
      </c>
      <c r="AA91" s="17">
        <f t="shared" si="66"/>
        <v>0</v>
      </c>
      <c r="AB91" s="17">
        <f t="shared" si="67"/>
        <v>4484.16</v>
      </c>
      <c r="AD91" s="34">
        <v>21</v>
      </c>
      <c r="AE91" s="34">
        <f>G91*0.810693641618497</f>
        <v>100.97999999999999</v>
      </c>
      <c r="AF91" s="34">
        <f>G91*(1-0.810693641618497)</f>
        <v>23.580000000000016</v>
      </c>
      <c r="AM91" s="34">
        <f t="shared" si="68"/>
        <v>3635.2799999999997</v>
      </c>
      <c r="AN91" s="34">
        <f t="shared" si="69"/>
        <v>848.8800000000006</v>
      </c>
      <c r="AO91" s="35" t="s">
        <v>299</v>
      </c>
      <c r="AP91" s="35" t="s">
        <v>311</v>
      </c>
      <c r="AQ91" s="26" t="s">
        <v>313</v>
      </c>
    </row>
    <row r="92" spans="1:43" ht="12.75">
      <c r="A92" s="4" t="s">
        <v>80</v>
      </c>
      <c r="B92" s="4"/>
      <c r="C92" s="4" t="s">
        <v>175</v>
      </c>
      <c r="D92" s="4" t="s">
        <v>208</v>
      </c>
      <c r="E92" s="4" t="s">
        <v>256</v>
      </c>
      <c r="F92" s="17">
        <v>60</v>
      </c>
      <c r="G92" s="17">
        <v>178.5</v>
      </c>
      <c r="H92" s="17">
        <f t="shared" si="60"/>
        <v>6830.399999999994</v>
      </c>
      <c r="I92" s="17">
        <f t="shared" si="61"/>
        <v>3879.600000000006</v>
      </c>
      <c r="J92" s="17">
        <f t="shared" si="62"/>
        <v>10710</v>
      </c>
      <c r="K92" s="17">
        <v>0.14424</v>
      </c>
      <c r="L92" s="17">
        <f t="shared" si="63"/>
        <v>8.6544</v>
      </c>
      <c r="M92" s="29" t="s">
        <v>279</v>
      </c>
      <c r="N92" s="29" t="s">
        <v>7</v>
      </c>
      <c r="O92" s="17">
        <f t="shared" si="64"/>
        <v>0</v>
      </c>
      <c r="Z92" s="17">
        <f t="shared" si="65"/>
        <v>0</v>
      </c>
      <c r="AA92" s="17">
        <f t="shared" si="66"/>
        <v>0</v>
      </c>
      <c r="AB92" s="17">
        <f t="shared" si="67"/>
        <v>10710</v>
      </c>
      <c r="AD92" s="34">
        <v>21</v>
      </c>
      <c r="AE92" s="34">
        <f>G92*0.637759103641456</f>
        <v>113.8399999999999</v>
      </c>
      <c r="AF92" s="34">
        <f>G92*(1-0.637759103641456)</f>
        <v>64.6600000000001</v>
      </c>
      <c r="AM92" s="34">
        <f t="shared" si="68"/>
        <v>6830.399999999994</v>
      </c>
      <c r="AN92" s="34">
        <f t="shared" si="69"/>
        <v>3879.600000000006</v>
      </c>
      <c r="AO92" s="35" t="s">
        <v>299</v>
      </c>
      <c r="AP92" s="35" t="s">
        <v>311</v>
      </c>
      <c r="AQ92" s="26" t="s">
        <v>313</v>
      </c>
    </row>
    <row r="93" spans="1:43" ht="12.75">
      <c r="A93" s="5" t="s">
        <v>81</v>
      </c>
      <c r="B93" s="5"/>
      <c r="C93" s="5" t="s">
        <v>176</v>
      </c>
      <c r="D93" s="5" t="s">
        <v>209</v>
      </c>
      <c r="E93" s="5" t="s">
        <v>258</v>
      </c>
      <c r="F93" s="18">
        <v>210</v>
      </c>
      <c r="G93" s="18">
        <v>14.6</v>
      </c>
      <c r="H93" s="18">
        <f t="shared" si="60"/>
        <v>3066</v>
      </c>
      <c r="I93" s="18">
        <f t="shared" si="61"/>
        <v>0</v>
      </c>
      <c r="J93" s="18">
        <f t="shared" si="62"/>
        <v>3066</v>
      </c>
      <c r="K93" s="18">
        <v>0.0052</v>
      </c>
      <c r="L93" s="18">
        <f t="shared" si="63"/>
        <v>1.0919999999999999</v>
      </c>
      <c r="M93" s="30" t="s">
        <v>279</v>
      </c>
      <c r="N93" s="30" t="s">
        <v>282</v>
      </c>
      <c r="O93" s="18">
        <f t="shared" si="64"/>
        <v>0</v>
      </c>
      <c r="Z93" s="18">
        <f t="shared" si="65"/>
        <v>0</v>
      </c>
      <c r="AA93" s="18">
        <f t="shared" si="66"/>
        <v>0</v>
      </c>
      <c r="AB93" s="18">
        <f t="shared" si="67"/>
        <v>3066</v>
      </c>
      <c r="AD93" s="34">
        <v>21</v>
      </c>
      <c r="AE93" s="34">
        <f>G93*1</f>
        <v>14.6</v>
      </c>
      <c r="AF93" s="34">
        <f>G93*(1-1)</f>
        <v>0</v>
      </c>
      <c r="AM93" s="34">
        <f t="shared" si="68"/>
        <v>3066</v>
      </c>
      <c r="AN93" s="34">
        <f t="shared" si="69"/>
        <v>0</v>
      </c>
      <c r="AO93" s="35" t="s">
        <v>299</v>
      </c>
      <c r="AP93" s="35" t="s">
        <v>311</v>
      </c>
      <c r="AQ93" s="26" t="s">
        <v>313</v>
      </c>
    </row>
    <row r="94" spans="1:43" ht="12.75">
      <c r="A94" s="4" t="s">
        <v>82</v>
      </c>
      <c r="B94" s="4"/>
      <c r="C94" s="4" t="s">
        <v>194</v>
      </c>
      <c r="D94" s="4" t="s">
        <v>231</v>
      </c>
      <c r="E94" s="4" t="s">
        <v>255</v>
      </c>
      <c r="F94" s="17">
        <v>18</v>
      </c>
      <c r="G94" s="17">
        <v>20</v>
      </c>
      <c r="H94" s="17">
        <f t="shared" si="60"/>
        <v>0</v>
      </c>
      <c r="I94" s="17">
        <f t="shared" si="61"/>
        <v>360</v>
      </c>
      <c r="J94" s="17">
        <f t="shared" si="62"/>
        <v>360</v>
      </c>
      <c r="K94" s="17">
        <v>0.1</v>
      </c>
      <c r="L94" s="17">
        <f t="shared" si="63"/>
        <v>1.8</v>
      </c>
      <c r="M94" s="29" t="s">
        <v>279</v>
      </c>
      <c r="N94" s="29" t="s">
        <v>7</v>
      </c>
      <c r="O94" s="17">
        <f t="shared" si="64"/>
        <v>0</v>
      </c>
      <c r="Z94" s="17">
        <f t="shared" si="65"/>
        <v>0</v>
      </c>
      <c r="AA94" s="17">
        <f t="shared" si="66"/>
        <v>0</v>
      </c>
      <c r="AB94" s="17">
        <f t="shared" si="67"/>
        <v>360</v>
      </c>
      <c r="AD94" s="34">
        <v>21</v>
      </c>
      <c r="AE94" s="34">
        <f>G94*0</f>
        <v>0</v>
      </c>
      <c r="AF94" s="34">
        <f>G94*(1-0)</f>
        <v>20</v>
      </c>
      <c r="AM94" s="34">
        <f t="shared" si="68"/>
        <v>0</v>
      </c>
      <c r="AN94" s="34">
        <f t="shared" si="69"/>
        <v>360</v>
      </c>
      <c r="AO94" s="35" t="s">
        <v>299</v>
      </c>
      <c r="AP94" s="35" t="s">
        <v>311</v>
      </c>
      <c r="AQ94" s="26" t="s">
        <v>313</v>
      </c>
    </row>
    <row r="95" spans="1:43" ht="12.75">
      <c r="A95" s="4" t="s">
        <v>83</v>
      </c>
      <c r="B95" s="4"/>
      <c r="C95" s="4" t="s">
        <v>195</v>
      </c>
      <c r="D95" s="4" t="s">
        <v>235</v>
      </c>
      <c r="E95" s="4" t="s">
        <v>255</v>
      </c>
      <c r="F95" s="17">
        <v>36</v>
      </c>
      <c r="G95" s="17">
        <v>220</v>
      </c>
      <c r="H95" s="17">
        <f t="shared" si="60"/>
        <v>3615.8400000000033</v>
      </c>
      <c r="I95" s="17">
        <f t="shared" si="61"/>
        <v>4304.159999999996</v>
      </c>
      <c r="J95" s="17">
        <f t="shared" si="62"/>
        <v>7920</v>
      </c>
      <c r="K95" s="17">
        <v>0.2334</v>
      </c>
      <c r="L95" s="17">
        <f t="shared" si="63"/>
        <v>8.4024</v>
      </c>
      <c r="M95" s="29" t="s">
        <v>281</v>
      </c>
      <c r="N95" s="29" t="s">
        <v>7</v>
      </c>
      <c r="O95" s="17">
        <f t="shared" si="64"/>
        <v>0</v>
      </c>
      <c r="Z95" s="17">
        <f t="shared" si="65"/>
        <v>0</v>
      </c>
      <c r="AA95" s="17">
        <f t="shared" si="66"/>
        <v>0</v>
      </c>
      <c r="AB95" s="17">
        <f t="shared" si="67"/>
        <v>7920</v>
      </c>
      <c r="AD95" s="34">
        <v>21</v>
      </c>
      <c r="AE95" s="34">
        <f>G95*0.456545454545455</f>
        <v>100.4400000000001</v>
      </c>
      <c r="AF95" s="34">
        <f>G95*(1-0.456545454545455)</f>
        <v>119.55999999999989</v>
      </c>
      <c r="AM95" s="34">
        <f t="shared" si="68"/>
        <v>3615.8400000000033</v>
      </c>
      <c r="AN95" s="34">
        <f t="shared" si="69"/>
        <v>4304.159999999996</v>
      </c>
      <c r="AO95" s="35" t="s">
        <v>299</v>
      </c>
      <c r="AP95" s="35" t="s">
        <v>311</v>
      </c>
      <c r="AQ95" s="26" t="s">
        <v>313</v>
      </c>
    </row>
    <row r="96" spans="1:43" ht="12.75">
      <c r="A96" s="4" t="s">
        <v>84</v>
      </c>
      <c r="B96" s="4"/>
      <c r="C96" s="4" t="s">
        <v>181</v>
      </c>
      <c r="D96" s="4" t="s">
        <v>214</v>
      </c>
      <c r="E96" s="4" t="s">
        <v>259</v>
      </c>
      <c r="F96" s="17">
        <v>16.14</v>
      </c>
      <c r="G96" s="17">
        <v>540</v>
      </c>
      <c r="H96" s="17">
        <f t="shared" si="60"/>
        <v>0</v>
      </c>
      <c r="I96" s="17">
        <f t="shared" si="61"/>
        <v>8715.6</v>
      </c>
      <c r="J96" s="17">
        <f t="shared" si="62"/>
        <v>8715.6</v>
      </c>
      <c r="K96" s="17">
        <v>0</v>
      </c>
      <c r="L96" s="17">
        <f t="shared" si="63"/>
        <v>0</v>
      </c>
      <c r="M96" s="29" t="s">
        <v>280</v>
      </c>
      <c r="N96" s="29" t="s">
        <v>11</v>
      </c>
      <c r="O96" s="17">
        <f t="shared" si="64"/>
        <v>8715.6</v>
      </c>
      <c r="Z96" s="17">
        <f t="shared" si="65"/>
        <v>0</v>
      </c>
      <c r="AA96" s="17">
        <f t="shared" si="66"/>
        <v>0</v>
      </c>
      <c r="AB96" s="17">
        <f t="shared" si="67"/>
        <v>8715.6</v>
      </c>
      <c r="AD96" s="34">
        <v>21</v>
      </c>
      <c r="AE96" s="34">
        <f>G96*0</f>
        <v>0</v>
      </c>
      <c r="AF96" s="34">
        <f>G96*(1-0)</f>
        <v>540</v>
      </c>
      <c r="AM96" s="34">
        <f t="shared" si="68"/>
        <v>0</v>
      </c>
      <c r="AN96" s="34">
        <f t="shared" si="69"/>
        <v>8715.6</v>
      </c>
      <c r="AO96" s="35" t="s">
        <v>299</v>
      </c>
      <c r="AP96" s="35" t="s">
        <v>311</v>
      </c>
      <c r="AQ96" s="26" t="s">
        <v>313</v>
      </c>
    </row>
    <row r="97" spans="1:43" ht="12.75">
      <c r="A97" s="4" t="s">
        <v>85</v>
      </c>
      <c r="B97" s="4"/>
      <c r="C97" s="4" t="s">
        <v>182</v>
      </c>
      <c r="D97" s="4" t="s">
        <v>215</v>
      </c>
      <c r="E97" s="4" t="s">
        <v>259</v>
      </c>
      <c r="F97" s="17">
        <v>42.35</v>
      </c>
      <c r="G97" s="17">
        <v>50.6</v>
      </c>
      <c r="H97" s="17">
        <f t="shared" si="60"/>
        <v>0</v>
      </c>
      <c r="I97" s="17">
        <f t="shared" si="61"/>
        <v>2142.9100000000003</v>
      </c>
      <c r="J97" s="17">
        <f t="shared" si="62"/>
        <v>2142.9100000000003</v>
      </c>
      <c r="K97" s="17">
        <v>0</v>
      </c>
      <c r="L97" s="17">
        <f t="shared" si="63"/>
        <v>0</v>
      </c>
      <c r="M97" s="29" t="s">
        <v>281</v>
      </c>
      <c r="N97" s="29" t="s">
        <v>11</v>
      </c>
      <c r="O97" s="17">
        <f t="shared" si="64"/>
        <v>2142.9100000000003</v>
      </c>
      <c r="Z97" s="17">
        <f t="shared" si="65"/>
        <v>0</v>
      </c>
      <c r="AA97" s="17">
        <f t="shared" si="66"/>
        <v>0</v>
      </c>
      <c r="AB97" s="17">
        <f t="shared" si="67"/>
        <v>2142.9100000000003</v>
      </c>
      <c r="AD97" s="34">
        <v>21</v>
      </c>
      <c r="AE97" s="34">
        <f>G97*0</f>
        <v>0</v>
      </c>
      <c r="AF97" s="34">
        <f>G97*(1-0)</f>
        <v>50.6</v>
      </c>
      <c r="AM97" s="34">
        <f t="shared" si="68"/>
        <v>0</v>
      </c>
      <c r="AN97" s="34">
        <f t="shared" si="69"/>
        <v>2142.9100000000003</v>
      </c>
      <c r="AO97" s="35" t="s">
        <v>299</v>
      </c>
      <c r="AP97" s="35" t="s">
        <v>311</v>
      </c>
      <c r="AQ97" s="26" t="s">
        <v>313</v>
      </c>
    </row>
    <row r="98" spans="1:37" ht="12.75">
      <c r="A98" s="6"/>
      <c r="B98" s="13"/>
      <c r="C98" s="13" t="s">
        <v>17</v>
      </c>
      <c r="D98" s="72" t="s">
        <v>236</v>
      </c>
      <c r="E98" s="73"/>
      <c r="F98" s="73"/>
      <c r="G98" s="73"/>
      <c r="H98" s="37">
        <f>SUM(H99:H104)</f>
        <v>5376.8700000000035</v>
      </c>
      <c r="I98" s="37">
        <f>SUM(I99:I104)</f>
        <v>18236.201999999997</v>
      </c>
      <c r="J98" s="37">
        <f>H98+I98</f>
        <v>23613.072</v>
      </c>
      <c r="K98" s="26"/>
      <c r="L98" s="37">
        <f>SUM(L99:L104)</f>
        <v>26.04</v>
      </c>
      <c r="M98" s="26"/>
      <c r="P98" s="37">
        <f>IF(Q98="PR",J98,SUM(O99:O104))</f>
        <v>8475.072</v>
      </c>
      <c r="Q98" s="26" t="s">
        <v>285</v>
      </c>
      <c r="R98" s="37">
        <f>IF(Q98="HS",H98,0)</f>
        <v>5376.8700000000035</v>
      </c>
      <c r="S98" s="37">
        <f>IF(Q98="HS",I98-P98,0)</f>
        <v>9761.129999999997</v>
      </c>
      <c r="T98" s="37">
        <f>IF(Q98="PS",H98,0)</f>
        <v>0</v>
      </c>
      <c r="U98" s="37">
        <f>IF(Q98="PS",I98-P98,0)</f>
        <v>0</v>
      </c>
      <c r="V98" s="37">
        <f>IF(Q98="MP",H98,0)</f>
        <v>0</v>
      </c>
      <c r="W98" s="37">
        <f>IF(Q98="MP",I98-P98,0)</f>
        <v>0</v>
      </c>
      <c r="X98" s="37">
        <f>IF(Q98="OM",H98,0)</f>
        <v>0</v>
      </c>
      <c r="Y98" s="26"/>
      <c r="AI98" s="37">
        <f>SUM(Z99:Z104)</f>
        <v>0</v>
      </c>
      <c r="AJ98" s="37">
        <f>SUM(AA99:AA104)</f>
        <v>0</v>
      </c>
      <c r="AK98" s="37">
        <f>SUM(AB99:AB104)</f>
        <v>23613.072</v>
      </c>
    </row>
    <row r="99" spans="1:43" ht="12.75">
      <c r="A99" s="4" t="s">
        <v>86</v>
      </c>
      <c r="B99" s="4"/>
      <c r="C99" s="4" t="s">
        <v>171</v>
      </c>
      <c r="D99" s="4" t="s">
        <v>204</v>
      </c>
      <c r="E99" s="4" t="s">
        <v>255</v>
      </c>
      <c r="F99" s="17">
        <v>36</v>
      </c>
      <c r="G99" s="17">
        <v>155</v>
      </c>
      <c r="H99" s="17">
        <f aca="true" t="shared" si="70" ref="H99:H104">F99*AE99</f>
        <v>103.3200000000002</v>
      </c>
      <c r="I99" s="17">
        <f aca="true" t="shared" si="71" ref="I99:I104">J99-H99</f>
        <v>5476.679999999999</v>
      </c>
      <c r="J99" s="17">
        <f aca="true" t="shared" si="72" ref="J99:J104">F99*G99</f>
        <v>5580</v>
      </c>
      <c r="K99" s="17">
        <v>0.42</v>
      </c>
      <c r="L99" s="17">
        <f aca="true" t="shared" si="73" ref="L99:L104">F99*K99</f>
        <v>15.12</v>
      </c>
      <c r="M99" s="29" t="s">
        <v>279</v>
      </c>
      <c r="N99" s="29" t="s">
        <v>9</v>
      </c>
      <c r="O99" s="17">
        <f aca="true" t="shared" si="74" ref="O99:O104">IF(N99="5",I99,0)</f>
        <v>0</v>
      </c>
      <c r="Z99" s="17">
        <f aca="true" t="shared" si="75" ref="Z99:Z104">IF(AD99=0,J99,0)</f>
        <v>0</v>
      </c>
      <c r="AA99" s="17">
        <f aca="true" t="shared" si="76" ref="AA99:AA104">IF(AD99=15,J99,0)</f>
        <v>0</v>
      </c>
      <c r="AB99" s="17">
        <f aca="true" t="shared" si="77" ref="AB99:AB104">IF(AD99=21,J99,0)</f>
        <v>5580</v>
      </c>
      <c r="AD99" s="34">
        <v>21</v>
      </c>
      <c r="AE99" s="34">
        <f>G99*0.0185161290322581</f>
        <v>2.870000000000006</v>
      </c>
      <c r="AF99" s="34">
        <f>G99*(1-0.0185161290322581)</f>
        <v>152.13</v>
      </c>
      <c r="AM99" s="34">
        <f aca="true" t="shared" si="78" ref="AM99:AM104">F99*AE99</f>
        <v>103.3200000000002</v>
      </c>
      <c r="AN99" s="34">
        <f aca="true" t="shared" si="79" ref="AN99:AN104">F99*AF99</f>
        <v>5476.68</v>
      </c>
      <c r="AO99" s="35" t="s">
        <v>300</v>
      </c>
      <c r="AP99" s="35" t="s">
        <v>311</v>
      </c>
      <c r="AQ99" s="26" t="s">
        <v>313</v>
      </c>
    </row>
    <row r="100" spans="1:43" ht="12.75">
      <c r="A100" s="4" t="s">
        <v>87</v>
      </c>
      <c r="B100" s="4"/>
      <c r="C100" s="4" t="s">
        <v>172</v>
      </c>
      <c r="D100" s="4" t="s">
        <v>205</v>
      </c>
      <c r="E100" s="4" t="s">
        <v>256</v>
      </c>
      <c r="F100" s="17">
        <v>60</v>
      </c>
      <c r="G100" s="17">
        <v>28.8</v>
      </c>
      <c r="H100" s="17">
        <f t="shared" si="70"/>
        <v>0</v>
      </c>
      <c r="I100" s="17">
        <f t="shared" si="71"/>
        <v>1728</v>
      </c>
      <c r="J100" s="17">
        <f t="shared" si="72"/>
        <v>1728</v>
      </c>
      <c r="K100" s="17">
        <v>0.017</v>
      </c>
      <c r="L100" s="17">
        <f t="shared" si="73"/>
        <v>1.02</v>
      </c>
      <c r="M100" s="29" t="s">
        <v>279</v>
      </c>
      <c r="N100" s="29" t="s">
        <v>8</v>
      </c>
      <c r="O100" s="17">
        <f t="shared" si="74"/>
        <v>0</v>
      </c>
      <c r="Z100" s="17">
        <f t="shared" si="75"/>
        <v>0</v>
      </c>
      <c r="AA100" s="17">
        <f t="shared" si="76"/>
        <v>0</v>
      </c>
      <c r="AB100" s="17">
        <f t="shared" si="77"/>
        <v>1728</v>
      </c>
      <c r="AD100" s="34">
        <v>21</v>
      </c>
      <c r="AE100" s="34">
        <f>G100*0</f>
        <v>0</v>
      </c>
      <c r="AF100" s="34">
        <f>G100*(1-0)</f>
        <v>28.8</v>
      </c>
      <c r="AM100" s="34">
        <f t="shared" si="78"/>
        <v>0</v>
      </c>
      <c r="AN100" s="34">
        <f t="shared" si="79"/>
        <v>1728</v>
      </c>
      <c r="AO100" s="35" t="s">
        <v>300</v>
      </c>
      <c r="AP100" s="35" t="s">
        <v>311</v>
      </c>
      <c r="AQ100" s="26" t="s">
        <v>313</v>
      </c>
    </row>
    <row r="101" spans="1:43" ht="12.75">
      <c r="A101" s="4" t="s">
        <v>88</v>
      </c>
      <c r="B101" s="4"/>
      <c r="C101" s="4" t="s">
        <v>196</v>
      </c>
      <c r="D101" s="4" t="s">
        <v>237</v>
      </c>
      <c r="E101" s="4" t="s">
        <v>255</v>
      </c>
      <c r="F101" s="17">
        <v>45</v>
      </c>
      <c r="G101" s="17">
        <v>150</v>
      </c>
      <c r="H101" s="17">
        <f t="shared" si="70"/>
        <v>5273.550000000003</v>
      </c>
      <c r="I101" s="17">
        <f t="shared" si="71"/>
        <v>1476.449999999997</v>
      </c>
      <c r="J101" s="17">
        <f t="shared" si="72"/>
        <v>6750</v>
      </c>
      <c r="K101" s="17">
        <v>0.1</v>
      </c>
      <c r="L101" s="17">
        <f t="shared" si="73"/>
        <v>4.5</v>
      </c>
      <c r="M101" s="29" t="s">
        <v>279</v>
      </c>
      <c r="N101" s="29" t="s">
        <v>7</v>
      </c>
      <c r="O101" s="17">
        <f t="shared" si="74"/>
        <v>0</v>
      </c>
      <c r="Z101" s="17">
        <f t="shared" si="75"/>
        <v>0</v>
      </c>
      <c r="AA101" s="17">
        <f t="shared" si="76"/>
        <v>0</v>
      </c>
      <c r="AB101" s="17">
        <f t="shared" si="77"/>
        <v>6750</v>
      </c>
      <c r="AD101" s="34">
        <v>21</v>
      </c>
      <c r="AE101" s="34">
        <f>G101*0.781266666666667</f>
        <v>117.19000000000005</v>
      </c>
      <c r="AF101" s="34">
        <f>G101*(1-0.781266666666667)</f>
        <v>32.80999999999995</v>
      </c>
      <c r="AM101" s="34">
        <f t="shared" si="78"/>
        <v>5273.550000000003</v>
      </c>
      <c r="AN101" s="34">
        <f t="shared" si="79"/>
        <v>1476.4499999999978</v>
      </c>
      <c r="AO101" s="35" t="s">
        <v>300</v>
      </c>
      <c r="AP101" s="35" t="s">
        <v>311</v>
      </c>
      <c r="AQ101" s="26" t="s">
        <v>313</v>
      </c>
    </row>
    <row r="102" spans="1:43" ht="12.75">
      <c r="A102" s="4" t="s">
        <v>89</v>
      </c>
      <c r="B102" s="4"/>
      <c r="C102" s="4" t="s">
        <v>194</v>
      </c>
      <c r="D102" s="4" t="s">
        <v>231</v>
      </c>
      <c r="E102" s="4" t="s">
        <v>255</v>
      </c>
      <c r="F102" s="17">
        <v>54</v>
      </c>
      <c r="G102" s="17">
        <v>20</v>
      </c>
      <c r="H102" s="17">
        <f t="shared" si="70"/>
        <v>0</v>
      </c>
      <c r="I102" s="17">
        <f t="shared" si="71"/>
        <v>1080</v>
      </c>
      <c r="J102" s="17">
        <f t="shared" si="72"/>
        <v>1080</v>
      </c>
      <c r="K102" s="17">
        <v>0.1</v>
      </c>
      <c r="L102" s="17">
        <f t="shared" si="73"/>
        <v>5.4</v>
      </c>
      <c r="M102" s="29" t="s">
        <v>279</v>
      </c>
      <c r="N102" s="29" t="s">
        <v>7</v>
      </c>
      <c r="O102" s="17">
        <f t="shared" si="74"/>
        <v>0</v>
      </c>
      <c r="Z102" s="17">
        <f t="shared" si="75"/>
        <v>0</v>
      </c>
      <c r="AA102" s="17">
        <f t="shared" si="76"/>
        <v>0</v>
      </c>
      <c r="AB102" s="17">
        <f t="shared" si="77"/>
        <v>1080</v>
      </c>
      <c r="AD102" s="34">
        <v>21</v>
      </c>
      <c r="AE102" s="34">
        <f>G102*0</f>
        <v>0</v>
      </c>
      <c r="AF102" s="34">
        <f>G102*(1-0)</f>
        <v>20</v>
      </c>
      <c r="AM102" s="34">
        <f t="shared" si="78"/>
        <v>0</v>
      </c>
      <c r="AN102" s="34">
        <f t="shared" si="79"/>
        <v>1080</v>
      </c>
      <c r="AO102" s="35" t="s">
        <v>300</v>
      </c>
      <c r="AP102" s="35" t="s">
        <v>311</v>
      </c>
      <c r="AQ102" s="26" t="s">
        <v>313</v>
      </c>
    </row>
    <row r="103" spans="1:43" ht="12.75">
      <c r="A103" s="4" t="s">
        <v>90</v>
      </c>
      <c r="B103" s="4"/>
      <c r="C103" s="4" t="s">
        <v>181</v>
      </c>
      <c r="D103" s="4" t="s">
        <v>214</v>
      </c>
      <c r="E103" s="4" t="s">
        <v>260</v>
      </c>
      <c r="F103" s="17">
        <v>15.12</v>
      </c>
      <c r="G103" s="17">
        <v>530</v>
      </c>
      <c r="H103" s="17">
        <f t="shared" si="70"/>
        <v>0</v>
      </c>
      <c r="I103" s="17">
        <f t="shared" si="71"/>
        <v>8013.599999999999</v>
      </c>
      <c r="J103" s="17">
        <f t="shared" si="72"/>
        <v>8013.599999999999</v>
      </c>
      <c r="K103" s="17">
        <v>0</v>
      </c>
      <c r="L103" s="17">
        <f t="shared" si="73"/>
        <v>0</v>
      </c>
      <c r="M103" s="29" t="s">
        <v>280</v>
      </c>
      <c r="N103" s="29" t="s">
        <v>11</v>
      </c>
      <c r="O103" s="17">
        <f t="shared" si="74"/>
        <v>8013.599999999999</v>
      </c>
      <c r="Z103" s="17">
        <f t="shared" si="75"/>
        <v>0</v>
      </c>
      <c r="AA103" s="17">
        <f t="shared" si="76"/>
        <v>0</v>
      </c>
      <c r="AB103" s="17">
        <f t="shared" si="77"/>
        <v>8013.599999999999</v>
      </c>
      <c r="AD103" s="34">
        <v>21</v>
      </c>
      <c r="AE103" s="34">
        <f>G103*0</f>
        <v>0</v>
      </c>
      <c r="AF103" s="34">
        <f>G103*(1-0)</f>
        <v>530</v>
      </c>
      <c r="AM103" s="34">
        <f t="shared" si="78"/>
        <v>0</v>
      </c>
      <c r="AN103" s="34">
        <f t="shared" si="79"/>
        <v>8013.599999999999</v>
      </c>
      <c r="AO103" s="35" t="s">
        <v>300</v>
      </c>
      <c r="AP103" s="35" t="s">
        <v>311</v>
      </c>
      <c r="AQ103" s="26" t="s">
        <v>313</v>
      </c>
    </row>
    <row r="104" spans="1:43" ht="12.75">
      <c r="A104" s="4" t="s">
        <v>91</v>
      </c>
      <c r="B104" s="4"/>
      <c r="C104" s="4" t="s">
        <v>182</v>
      </c>
      <c r="D104" s="4" t="s">
        <v>215</v>
      </c>
      <c r="E104" s="4" t="s">
        <v>259</v>
      </c>
      <c r="F104" s="17">
        <v>9.12</v>
      </c>
      <c r="G104" s="17">
        <v>50.6</v>
      </c>
      <c r="H104" s="17">
        <f t="shared" si="70"/>
        <v>0</v>
      </c>
      <c r="I104" s="17">
        <f t="shared" si="71"/>
        <v>461.472</v>
      </c>
      <c r="J104" s="17">
        <f t="shared" si="72"/>
        <v>461.472</v>
      </c>
      <c r="K104" s="17">
        <v>0</v>
      </c>
      <c r="L104" s="17">
        <f t="shared" si="73"/>
        <v>0</v>
      </c>
      <c r="M104" s="29" t="s">
        <v>281</v>
      </c>
      <c r="N104" s="29" t="s">
        <v>11</v>
      </c>
      <c r="O104" s="17">
        <f t="shared" si="74"/>
        <v>461.472</v>
      </c>
      <c r="Z104" s="17">
        <f t="shared" si="75"/>
        <v>0</v>
      </c>
      <c r="AA104" s="17">
        <f t="shared" si="76"/>
        <v>0</v>
      </c>
      <c r="AB104" s="17">
        <f t="shared" si="77"/>
        <v>461.472</v>
      </c>
      <c r="AD104" s="34">
        <v>21</v>
      </c>
      <c r="AE104" s="34">
        <f>G104*0</f>
        <v>0</v>
      </c>
      <c r="AF104" s="34">
        <f>G104*(1-0)</f>
        <v>50.6</v>
      </c>
      <c r="AM104" s="34">
        <f t="shared" si="78"/>
        <v>0</v>
      </c>
      <c r="AN104" s="34">
        <f t="shared" si="79"/>
        <v>461.472</v>
      </c>
      <c r="AO104" s="35" t="s">
        <v>300</v>
      </c>
      <c r="AP104" s="35" t="s">
        <v>311</v>
      </c>
      <c r="AQ104" s="26" t="s">
        <v>313</v>
      </c>
    </row>
    <row r="105" spans="1:37" ht="12.75">
      <c r="A105" s="6"/>
      <c r="B105" s="13"/>
      <c r="C105" s="13" t="s">
        <v>18</v>
      </c>
      <c r="D105" s="72" t="s">
        <v>238</v>
      </c>
      <c r="E105" s="73"/>
      <c r="F105" s="73"/>
      <c r="G105" s="73"/>
      <c r="H105" s="37">
        <f>SUM(H106:H111)</f>
        <v>8244.534000000005</v>
      </c>
      <c r="I105" s="37">
        <f>SUM(I106:I111)</f>
        <v>27961.973999999995</v>
      </c>
      <c r="J105" s="37">
        <f>H105+I105</f>
        <v>36206.508</v>
      </c>
      <c r="K105" s="26"/>
      <c r="L105" s="37">
        <f>SUM(L106:L111)</f>
        <v>39.928000000000004</v>
      </c>
      <c r="M105" s="26"/>
      <c r="P105" s="37">
        <f>IF(Q105="PR",J105,SUM(O106:O111))</f>
        <v>12994.908000000001</v>
      </c>
      <c r="Q105" s="26" t="s">
        <v>285</v>
      </c>
      <c r="R105" s="37">
        <f>IF(Q105="HS",H105,0)</f>
        <v>8244.534000000005</v>
      </c>
      <c r="S105" s="37">
        <f>IF(Q105="HS",I105-P105,0)</f>
        <v>14967.065999999993</v>
      </c>
      <c r="T105" s="37">
        <f>IF(Q105="PS",H105,0)</f>
        <v>0</v>
      </c>
      <c r="U105" s="37">
        <f>IF(Q105="PS",I105-P105,0)</f>
        <v>0</v>
      </c>
      <c r="V105" s="37">
        <f>IF(Q105="MP",H105,0)</f>
        <v>0</v>
      </c>
      <c r="W105" s="37">
        <f>IF(Q105="MP",I105-P105,0)</f>
        <v>0</v>
      </c>
      <c r="X105" s="37">
        <f>IF(Q105="OM",H105,0)</f>
        <v>0</v>
      </c>
      <c r="Y105" s="26"/>
      <c r="AI105" s="37">
        <f>SUM(Z106:Z111)</f>
        <v>0</v>
      </c>
      <c r="AJ105" s="37">
        <f>SUM(AA106:AA111)</f>
        <v>0</v>
      </c>
      <c r="AK105" s="37">
        <f>SUM(AB106:AB111)</f>
        <v>36206.507999999994</v>
      </c>
    </row>
    <row r="106" spans="1:43" ht="12.75">
      <c r="A106" s="4" t="s">
        <v>92</v>
      </c>
      <c r="B106" s="4"/>
      <c r="C106" s="4" t="s">
        <v>171</v>
      </c>
      <c r="D106" s="4" t="s">
        <v>204</v>
      </c>
      <c r="E106" s="4" t="s">
        <v>255</v>
      </c>
      <c r="F106" s="17">
        <v>55.2</v>
      </c>
      <c r="G106" s="17">
        <v>155</v>
      </c>
      <c r="H106" s="17">
        <f aca="true" t="shared" si="80" ref="H106:H111">F106*AE106</f>
        <v>158.42400000000032</v>
      </c>
      <c r="I106" s="17">
        <f aca="true" t="shared" si="81" ref="I106:I111">J106-H106</f>
        <v>8397.576</v>
      </c>
      <c r="J106" s="17">
        <f aca="true" t="shared" si="82" ref="J106:J111">F106*G106</f>
        <v>8556</v>
      </c>
      <c r="K106" s="17">
        <v>0.42</v>
      </c>
      <c r="L106" s="17">
        <f aca="true" t="shared" si="83" ref="L106:L111">F106*K106</f>
        <v>23.184</v>
      </c>
      <c r="M106" s="29" t="s">
        <v>279</v>
      </c>
      <c r="N106" s="29" t="s">
        <v>9</v>
      </c>
      <c r="O106" s="17">
        <f aca="true" t="shared" si="84" ref="O106:O111">IF(N106="5",I106,0)</f>
        <v>0</v>
      </c>
      <c r="Z106" s="17">
        <f aca="true" t="shared" si="85" ref="Z106:Z111">IF(AD106=0,J106,0)</f>
        <v>0</v>
      </c>
      <c r="AA106" s="17">
        <f aca="true" t="shared" si="86" ref="AA106:AA111">IF(AD106=15,J106,0)</f>
        <v>0</v>
      </c>
      <c r="AB106" s="17">
        <f aca="true" t="shared" si="87" ref="AB106:AB111">IF(AD106=21,J106,0)</f>
        <v>8556</v>
      </c>
      <c r="AD106" s="34">
        <v>21</v>
      </c>
      <c r="AE106" s="34">
        <f>G106*0.0185161290322581</f>
        <v>2.870000000000006</v>
      </c>
      <c r="AF106" s="34">
        <f>G106*(1-0.0185161290322581)</f>
        <v>152.13</v>
      </c>
      <c r="AM106" s="34">
        <f aca="true" t="shared" si="88" ref="AM106:AM111">F106*AE106</f>
        <v>158.42400000000032</v>
      </c>
      <c r="AN106" s="34">
        <f aca="true" t="shared" si="89" ref="AN106:AN111">F106*AF106</f>
        <v>8397.576000000001</v>
      </c>
      <c r="AO106" s="35" t="s">
        <v>301</v>
      </c>
      <c r="AP106" s="35" t="s">
        <v>311</v>
      </c>
      <c r="AQ106" s="26" t="s">
        <v>313</v>
      </c>
    </row>
    <row r="107" spans="1:43" ht="12.75">
      <c r="A107" s="4" t="s">
        <v>93</v>
      </c>
      <c r="B107" s="4"/>
      <c r="C107" s="4" t="s">
        <v>172</v>
      </c>
      <c r="D107" s="4" t="s">
        <v>205</v>
      </c>
      <c r="E107" s="4" t="s">
        <v>256</v>
      </c>
      <c r="F107" s="17">
        <v>92</v>
      </c>
      <c r="G107" s="17">
        <v>28.8</v>
      </c>
      <c r="H107" s="17">
        <f t="shared" si="80"/>
        <v>0</v>
      </c>
      <c r="I107" s="17">
        <f t="shared" si="81"/>
        <v>2649.6</v>
      </c>
      <c r="J107" s="17">
        <f t="shared" si="82"/>
        <v>2649.6</v>
      </c>
      <c r="K107" s="17">
        <v>0.017</v>
      </c>
      <c r="L107" s="17">
        <f t="shared" si="83"/>
        <v>1.564</v>
      </c>
      <c r="M107" s="29" t="s">
        <v>279</v>
      </c>
      <c r="N107" s="29" t="s">
        <v>8</v>
      </c>
      <c r="O107" s="17">
        <f t="shared" si="84"/>
        <v>0</v>
      </c>
      <c r="Z107" s="17">
        <f t="shared" si="85"/>
        <v>0</v>
      </c>
      <c r="AA107" s="17">
        <f t="shared" si="86"/>
        <v>0</v>
      </c>
      <c r="AB107" s="17">
        <f t="shared" si="87"/>
        <v>2649.6</v>
      </c>
      <c r="AD107" s="34">
        <v>21</v>
      </c>
      <c r="AE107" s="34">
        <f>G107*0</f>
        <v>0</v>
      </c>
      <c r="AF107" s="34">
        <f>G107*(1-0)</f>
        <v>28.8</v>
      </c>
      <c r="AM107" s="34">
        <f t="shared" si="88"/>
        <v>0</v>
      </c>
      <c r="AN107" s="34">
        <f t="shared" si="89"/>
        <v>2649.6</v>
      </c>
      <c r="AO107" s="35" t="s">
        <v>301</v>
      </c>
      <c r="AP107" s="35" t="s">
        <v>311</v>
      </c>
      <c r="AQ107" s="26" t="s">
        <v>313</v>
      </c>
    </row>
    <row r="108" spans="1:43" ht="12.75">
      <c r="A108" s="4" t="s">
        <v>94</v>
      </c>
      <c r="B108" s="4"/>
      <c r="C108" s="4" t="s">
        <v>196</v>
      </c>
      <c r="D108" s="4" t="s">
        <v>237</v>
      </c>
      <c r="E108" s="4" t="s">
        <v>255</v>
      </c>
      <c r="F108" s="17">
        <v>69</v>
      </c>
      <c r="G108" s="17">
        <v>150</v>
      </c>
      <c r="H108" s="17">
        <f t="shared" si="80"/>
        <v>8086.110000000004</v>
      </c>
      <c r="I108" s="17">
        <f t="shared" si="81"/>
        <v>2263.889999999996</v>
      </c>
      <c r="J108" s="17">
        <f t="shared" si="82"/>
        <v>10350</v>
      </c>
      <c r="K108" s="17">
        <v>0.1</v>
      </c>
      <c r="L108" s="17">
        <f t="shared" si="83"/>
        <v>6.9</v>
      </c>
      <c r="M108" s="29" t="s">
        <v>279</v>
      </c>
      <c r="N108" s="29" t="s">
        <v>7</v>
      </c>
      <c r="O108" s="17">
        <f t="shared" si="84"/>
        <v>0</v>
      </c>
      <c r="Z108" s="17">
        <f t="shared" si="85"/>
        <v>0</v>
      </c>
      <c r="AA108" s="17">
        <f t="shared" si="86"/>
        <v>0</v>
      </c>
      <c r="AB108" s="17">
        <f t="shared" si="87"/>
        <v>10350</v>
      </c>
      <c r="AD108" s="34">
        <v>21</v>
      </c>
      <c r="AE108" s="34">
        <f>G108*0.781266666666667</f>
        <v>117.19000000000005</v>
      </c>
      <c r="AF108" s="34">
        <f>G108*(1-0.781266666666667)</f>
        <v>32.80999999999995</v>
      </c>
      <c r="AM108" s="34">
        <f t="shared" si="88"/>
        <v>8086.110000000004</v>
      </c>
      <c r="AN108" s="34">
        <f t="shared" si="89"/>
        <v>2263.8899999999967</v>
      </c>
      <c r="AO108" s="35" t="s">
        <v>301</v>
      </c>
      <c r="AP108" s="35" t="s">
        <v>311</v>
      </c>
      <c r="AQ108" s="26" t="s">
        <v>313</v>
      </c>
    </row>
    <row r="109" spans="1:43" ht="12.75">
      <c r="A109" s="4" t="s">
        <v>95</v>
      </c>
      <c r="B109" s="4"/>
      <c r="C109" s="4" t="s">
        <v>194</v>
      </c>
      <c r="D109" s="4" t="s">
        <v>231</v>
      </c>
      <c r="E109" s="4" t="s">
        <v>255</v>
      </c>
      <c r="F109" s="17">
        <v>82.8</v>
      </c>
      <c r="G109" s="17">
        <v>20</v>
      </c>
      <c r="H109" s="17">
        <f t="shared" si="80"/>
        <v>0</v>
      </c>
      <c r="I109" s="17">
        <f t="shared" si="81"/>
        <v>1656</v>
      </c>
      <c r="J109" s="17">
        <f t="shared" si="82"/>
        <v>1656</v>
      </c>
      <c r="K109" s="17">
        <v>0.1</v>
      </c>
      <c r="L109" s="17">
        <f t="shared" si="83"/>
        <v>8.28</v>
      </c>
      <c r="M109" s="29" t="s">
        <v>279</v>
      </c>
      <c r="N109" s="29" t="s">
        <v>7</v>
      </c>
      <c r="O109" s="17">
        <f t="shared" si="84"/>
        <v>0</v>
      </c>
      <c r="Z109" s="17">
        <f t="shared" si="85"/>
        <v>0</v>
      </c>
      <c r="AA109" s="17">
        <f t="shared" si="86"/>
        <v>0</v>
      </c>
      <c r="AB109" s="17">
        <f t="shared" si="87"/>
        <v>1656</v>
      </c>
      <c r="AD109" s="34">
        <v>21</v>
      </c>
      <c r="AE109" s="34">
        <f>G109*0</f>
        <v>0</v>
      </c>
      <c r="AF109" s="34">
        <f>G109*(1-0)</f>
        <v>20</v>
      </c>
      <c r="AM109" s="34">
        <f t="shared" si="88"/>
        <v>0</v>
      </c>
      <c r="AN109" s="34">
        <f t="shared" si="89"/>
        <v>1656</v>
      </c>
      <c r="AO109" s="35" t="s">
        <v>301</v>
      </c>
      <c r="AP109" s="35" t="s">
        <v>311</v>
      </c>
      <c r="AQ109" s="26" t="s">
        <v>313</v>
      </c>
    </row>
    <row r="110" spans="1:43" ht="12.75">
      <c r="A110" s="4" t="s">
        <v>96</v>
      </c>
      <c r="B110" s="4"/>
      <c r="C110" s="4" t="s">
        <v>181</v>
      </c>
      <c r="D110" s="4" t="s">
        <v>214</v>
      </c>
      <c r="E110" s="4" t="s">
        <v>259</v>
      </c>
      <c r="F110" s="17">
        <v>23.184</v>
      </c>
      <c r="G110" s="17">
        <v>530</v>
      </c>
      <c r="H110" s="17">
        <f t="shared" si="80"/>
        <v>0</v>
      </c>
      <c r="I110" s="17">
        <f t="shared" si="81"/>
        <v>12287.52</v>
      </c>
      <c r="J110" s="17">
        <f t="shared" si="82"/>
        <v>12287.52</v>
      </c>
      <c r="K110" s="17">
        <v>0</v>
      </c>
      <c r="L110" s="17">
        <f t="shared" si="83"/>
        <v>0</v>
      </c>
      <c r="M110" s="29" t="s">
        <v>280</v>
      </c>
      <c r="N110" s="29" t="s">
        <v>11</v>
      </c>
      <c r="O110" s="17">
        <f t="shared" si="84"/>
        <v>12287.52</v>
      </c>
      <c r="Z110" s="17">
        <f t="shared" si="85"/>
        <v>0</v>
      </c>
      <c r="AA110" s="17">
        <f t="shared" si="86"/>
        <v>0</v>
      </c>
      <c r="AB110" s="17">
        <f t="shared" si="87"/>
        <v>12287.52</v>
      </c>
      <c r="AD110" s="34">
        <v>21</v>
      </c>
      <c r="AE110" s="34">
        <f>G110*0</f>
        <v>0</v>
      </c>
      <c r="AF110" s="34">
        <f>G110*(1-0)</f>
        <v>530</v>
      </c>
      <c r="AM110" s="34">
        <f t="shared" si="88"/>
        <v>0</v>
      </c>
      <c r="AN110" s="34">
        <f t="shared" si="89"/>
        <v>12287.52</v>
      </c>
      <c r="AO110" s="35" t="s">
        <v>301</v>
      </c>
      <c r="AP110" s="35" t="s">
        <v>311</v>
      </c>
      <c r="AQ110" s="26" t="s">
        <v>313</v>
      </c>
    </row>
    <row r="111" spans="1:43" ht="12.75">
      <c r="A111" s="4" t="s">
        <v>97</v>
      </c>
      <c r="B111" s="4"/>
      <c r="C111" s="4" t="s">
        <v>182</v>
      </c>
      <c r="D111" s="4" t="s">
        <v>215</v>
      </c>
      <c r="E111" s="4" t="s">
        <v>259</v>
      </c>
      <c r="F111" s="17">
        <v>13.98</v>
      </c>
      <c r="G111" s="17">
        <v>50.6</v>
      </c>
      <c r="H111" s="17">
        <f t="shared" si="80"/>
        <v>0</v>
      </c>
      <c r="I111" s="17">
        <f t="shared" si="81"/>
        <v>707.388</v>
      </c>
      <c r="J111" s="17">
        <f t="shared" si="82"/>
        <v>707.388</v>
      </c>
      <c r="K111" s="17">
        <v>0</v>
      </c>
      <c r="L111" s="17">
        <f t="shared" si="83"/>
        <v>0</v>
      </c>
      <c r="M111" s="29" t="s">
        <v>281</v>
      </c>
      <c r="N111" s="29" t="s">
        <v>11</v>
      </c>
      <c r="O111" s="17">
        <f t="shared" si="84"/>
        <v>707.388</v>
      </c>
      <c r="Z111" s="17">
        <f t="shared" si="85"/>
        <v>0</v>
      </c>
      <c r="AA111" s="17">
        <f t="shared" si="86"/>
        <v>0</v>
      </c>
      <c r="AB111" s="17">
        <f t="shared" si="87"/>
        <v>707.388</v>
      </c>
      <c r="AD111" s="34">
        <v>21</v>
      </c>
      <c r="AE111" s="34">
        <f>G111*0</f>
        <v>0</v>
      </c>
      <c r="AF111" s="34">
        <f>G111*(1-0)</f>
        <v>50.6</v>
      </c>
      <c r="AM111" s="34">
        <f t="shared" si="88"/>
        <v>0</v>
      </c>
      <c r="AN111" s="34">
        <f t="shared" si="89"/>
        <v>707.388</v>
      </c>
      <c r="AO111" s="35" t="s">
        <v>301</v>
      </c>
      <c r="AP111" s="35" t="s">
        <v>311</v>
      </c>
      <c r="AQ111" s="26" t="s">
        <v>313</v>
      </c>
    </row>
    <row r="112" spans="1:37" ht="12.75">
      <c r="A112" s="6"/>
      <c r="B112" s="13"/>
      <c r="C112" s="13" t="s">
        <v>19</v>
      </c>
      <c r="D112" s="72" t="s">
        <v>239</v>
      </c>
      <c r="E112" s="73"/>
      <c r="F112" s="73"/>
      <c r="G112" s="73"/>
      <c r="H112" s="37">
        <f>SUM(H113:H122)</f>
        <v>43469.442399999985</v>
      </c>
      <c r="I112" s="37">
        <f>SUM(I113:I122)</f>
        <v>63034.21560000002</v>
      </c>
      <c r="J112" s="37">
        <f>H112+I112</f>
        <v>106503.658</v>
      </c>
      <c r="K112" s="26"/>
      <c r="L112" s="37">
        <f>SUM(L113:L122)</f>
        <v>134.77019199999998</v>
      </c>
      <c r="M112" s="26"/>
      <c r="P112" s="37">
        <f>IF(Q112="PR",J112,SUM(O113:O122))</f>
        <v>23219.636</v>
      </c>
      <c r="Q112" s="26" t="s">
        <v>285</v>
      </c>
      <c r="R112" s="37">
        <f>IF(Q112="HS",H112,0)</f>
        <v>43469.442399999985</v>
      </c>
      <c r="S112" s="37">
        <f>IF(Q112="HS",I112-P112,0)</f>
        <v>39814.57960000002</v>
      </c>
      <c r="T112" s="37">
        <f>IF(Q112="PS",H112,0)</f>
        <v>0</v>
      </c>
      <c r="U112" s="37">
        <f>IF(Q112="PS",I112-P112,0)</f>
        <v>0</v>
      </c>
      <c r="V112" s="37">
        <f>IF(Q112="MP",H112,0)</f>
        <v>0</v>
      </c>
      <c r="W112" s="37">
        <f>IF(Q112="MP",I112-P112,0)</f>
        <v>0</v>
      </c>
      <c r="X112" s="37">
        <f>IF(Q112="OM",H112,0)</f>
        <v>0</v>
      </c>
      <c r="Y112" s="26"/>
      <c r="AI112" s="37">
        <f>SUM(Z113:Z122)</f>
        <v>0</v>
      </c>
      <c r="AJ112" s="37">
        <f>SUM(AA113:AA122)</f>
        <v>0</v>
      </c>
      <c r="AK112" s="37">
        <f>SUM(AB113:AB122)</f>
        <v>106503.658</v>
      </c>
    </row>
    <row r="113" spans="1:43" ht="12.75">
      <c r="A113" s="4" t="s">
        <v>98</v>
      </c>
      <c r="B113" s="4"/>
      <c r="C113" s="4" t="s">
        <v>171</v>
      </c>
      <c r="D113" s="4" t="s">
        <v>204</v>
      </c>
      <c r="E113" s="4" t="s">
        <v>255</v>
      </c>
      <c r="F113" s="17">
        <v>76.32</v>
      </c>
      <c r="G113" s="17">
        <v>155</v>
      </c>
      <c r="H113" s="17">
        <f aca="true" t="shared" si="90" ref="H113:H122">F113*AE113</f>
        <v>219.03840000000042</v>
      </c>
      <c r="I113" s="17">
        <f aca="true" t="shared" si="91" ref="I113:I122">J113-H113</f>
        <v>11610.561599999997</v>
      </c>
      <c r="J113" s="17">
        <f aca="true" t="shared" si="92" ref="J113:J122">F113*G113</f>
        <v>11829.599999999999</v>
      </c>
      <c r="K113" s="17">
        <v>0.42</v>
      </c>
      <c r="L113" s="17">
        <f aca="true" t="shared" si="93" ref="L113:L122">F113*K113</f>
        <v>32.054399999999994</v>
      </c>
      <c r="M113" s="29" t="s">
        <v>279</v>
      </c>
      <c r="N113" s="29" t="s">
        <v>9</v>
      </c>
      <c r="O113" s="17">
        <f aca="true" t="shared" si="94" ref="O113:O122">IF(N113="5",I113,0)</f>
        <v>0</v>
      </c>
      <c r="Z113" s="17">
        <f aca="true" t="shared" si="95" ref="Z113:Z122">IF(AD113=0,J113,0)</f>
        <v>0</v>
      </c>
      <c r="AA113" s="17">
        <f aca="true" t="shared" si="96" ref="AA113:AA122">IF(AD113=15,J113,0)</f>
        <v>0</v>
      </c>
      <c r="AB113" s="17">
        <f aca="true" t="shared" si="97" ref="AB113:AB122">IF(AD113=21,J113,0)</f>
        <v>11829.599999999999</v>
      </c>
      <c r="AD113" s="34">
        <v>21</v>
      </c>
      <c r="AE113" s="34">
        <f>G113*0.0185161290322581</f>
        <v>2.870000000000006</v>
      </c>
      <c r="AF113" s="34">
        <f>G113*(1-0.0185161290322581)</f>
        <v>152.13</v>
      </c>
      <c r="AM113" s="34">
        <f aca="true" t="shared" si="98" ref="AM113:AM122">F113*AE113</f>
        <v>219.03840000000042</v>
      </c>
      <c r="AN113" s="34">
        <f aca="true" t="shared" si="99" ref="AN113:AN122">F113*AF113</f>
        <v>11610.561599999999</v>
      </c>
      <c r="AO113" s="35" t="s">
        <v>302</v>
      </c>
      <c r="AP113" s="35" t="s">
        <v>311</v>
      </c>
      <c r="AQ113" s="26" t="s">
        <v>313</v>
      </c>
    </row>
    <row r="114" spans="1:43" ht="12.75">
      <c r="A114" s="4" t="s">
        <v>99</v>
      </c>
      <c r="B114" s="4"/>
      <c r="C114" s="4" t="s">
        <v>172</v>
      </c>
      <c r="D114" s="4" t="s">
        <v>205</v>
      </c>
      <c r="E114" s="4" t="s">
        <v>256</v>
      </c>
      <c r="F114" s="17">
        <v>127.2</v>
      </c>
      <c r="G114" s="17">
        <v>28.8</v>
      </c>
      <c r="H114" s="17">
        <f t="shared" si="90"/>
        <v>0</v>
      </c>
      <c r="I114" s="17">
        <f t="shared" si="91"/>
        <v>3663.36</v>
      </c>
      <c r="J114" s="17">
        <f t="shared" si="92"/>
        <v>3663.36</v>
      </c>
      <c r="K114" s="17">
        <v>0.017</v>
      </c>
      <c r="L114" s="17">
        <f t="shared" si="93"/>
        <v>2.1624000000000003</v>
      </c>
      <c r="M114" s="29" t="s">
        <v>279</v>
      </c>
      <c r="N114" s="29" t="s">
        <v>8</v>
      </c>
      <c r="O114" s="17">
        <f t="shared" si="94"/>
        <v>0</v>
      </c>
      <c r="Z114" s="17">
        <f t="shared" si="95"/>
        <v>0</v>
      </c>
      <c r="AA114" s="17">
        <f t="shared" si="96"/>
        <v>0</v>
      </c>
      <c r="AB114" s="17">
        <f t="shared" si="97"/>
        <v>3663.36</v>
      </c>
      <c r="AD114" s="34">
        <v>21</v>
      </c>
      <c r="AE114" s="34">
        <f>G114*0</f>
        <v>0</v>
      </c>
      <c r="AF114" s="34">
        <f>G114*(1-0)</f>
        <v>28.8</v>
      </c>
      <c r="AM114" s="34">
        <f t="shared" si="98"/>
        <v>0</v>
      </c>
      <c r="AN114" s="34">
        <f t="shared" si="99"/>
        <v>3663.36</v>
      </c>
      <c r="AO114" s="35" t="s">
        <v>302</v>
      </c>
      <c r="AP114" s="35" t="s">
        <v>311</v>
      </c>
      <c r="AQ114" s="26" t="s">
        <v>313</v>
      </c>
    </row>
    <row r="115" spans="1:43" ht="12.75">
      <c r="A115" s="4" t="s">
        <v>100</v>
      </c>
      <c r="B115" s="4"/>
      <c r="C115" s="4" t="s">
        <v>173</v>
      </c>
      <c r="D115" s="4" t="s">
        <v>206</v>
      </c>
      <c r="E115" s="4" t="s">
        <v>257</v>
      </c>
      <c r="F115" s="17">
        <v>19.25</v>
      </c>
      <c r="G115" s="17">
        <v>155</v>
      </c>
      <c r="H115" s="17">
        <f t="shared" si="90"/>
        <v>0</v>
      </c>
      <c r="I115" s="17">
        <f t="shared" si="91"/>
        <v>2983.75</v>
      </c>
      <c r="J115" s="17">
        <f t="shared" si="92"/>
        <v>2983.75</v>
      </c>
      <c r="K115" s="17">
        <v>1.6</v>
      </c>
      <c r="L115" s="17">
        <f t="shared" si="93"/>
        <v>30.8</v>
      </c>
      <c r="M115" s="29" t="s">
        <v>280</v>
      </c>
      <c r="N115" s="29" t="s">
        <v>7</v>
      </c>
      <c r="O115" s="17">
        <f t="shared" si="94"/>
        <v>0</v>
      </c>
      <c r="Z115" s="17">
        <f t="shared" si="95"/>
        <v>0</v>
      </c>
      <c r="AA115" s="17">
        <f t="shared" si="96"/>
        <v>0</v>
      </c>
      <c r="AB115" s="17">
        <f t="shared" si="97"/>
        <v>2983.75</v>
      </c>
      <c r="AD115" s="34">
        <v>21</v>
      </c>
      <c r="AE115" s="34">
        <f>G115*0</f>
        <v>0</v>
      </c>
      <c r="AF115" s="34">
        <f>G115*(1-0)</f>
        <v>155</v>
      </c>
      <c r="AM115" s="34">
        <f t="shared" si="98"/>
        <v>0</v>
      </c>
      <c r="AN115" s="34">
        <f t="shared" si="99"/>
        <v>2983.75</v>
      </c>
      <c r="AO115" s="35" t="s">
        <v>302</v>
      </c>
      <c r="AP115" s="35" t="s">
        <v>311</v>
      </c>
      <c r="AQ115" s="26" t="s">
        <v>313</v>
      </c>
    </row>
    <row r="116" spans="1:43" ht="12.75">
      <c r="A116" s="4" t="s">
        <v>101</v>
      </c>
      <c r="B116" s="4"/>
      <c r="C116" s="4" t="s">
        <v>186</v>
      </c>
      <c r="D116" s="4" t="s">
        <v>225</v>
      </c>
      <c r="E116" s="4" t="s">
        <v>255</v>
      </c>
      <c r="F116" s="17">
        <v>145.2</v>
      </c>
      <c r="G116" s="17">
        <v>124.56</v>
      </c>
      <c r="H116" s="17">
        <f t="shared" si="90"/>
        <v>14662.295999999997</v>
      </c>
      <c r="I116" s="17">
        <f t="shared" si="91"/>
        <v>3423.8160000000007</v>
      </c>
      <c r="J116" s="17">
        <f t="shared" si="92"/>
        <v>18086.111999999997</v>
      </c>
      <c r="K116" s="17">
        <v>0.18907</v>
      </c>
      <c r="L116" s="17">
        <f t="shared" si="93"/>
        <v>27.452963999999994</v>
      </c>
      <c r="M116" s="29" t="s">
        <v>279</v>
      </c>
      <c r="N116" s="29" t="s">
        <v>7</v>
      </c>
      <c r="O116" s="17">
        <f t="shared" si="94"/>
        <v>0</v>
      </c>
      <c r="Z116" s="17">
        <f t="shared" si="95"/>
        <v>0</v>
      </c>
      <c r="AA116" s="17">
        <f t="shared" si="96"/>
        <v>0</v>
      </c>
      <c r="AB116" s="17">
        <f t="shared" si="97"/>
        <v>18086.111999999997</v>
      </c>
      <c r="AD116" s="34">
        <v>21</v>
      </c>
      <c r="AE116" s="34">
        <f>G116*0.810693641618497</f>
        <v>100.97999999999999</v>
      </c>
      <c r="AF116" s="34">
        <f>G116*(1-0.810693641618497)</f>
        <v>23.580000000000016</v>
      </c>
      <c r="AM116" s="34">
        <f t="shared" si="98"/>
        <v>14662.295999999997</v>
      </c>
      <c r="AN116" s="34">
        <f t="shared" si="99"/>
        <v>3423.816000000002</v>
      </c>
      <c r="AO116" s="35" t="s">
        <v>302</v>
      </c>
      <c r="AP116" s="35" t="s">
        <v>311</v>
      </c>
      <c r="AQ116" s="26" t="s">
        <v>313</v>
      </c>
    </row>
    <row r="117" spans="1:43" ht="12.75">
      <c r="A117" s="4" t="s">
        <v>102</v>
      </c>
      <c r="B117" s="4"/>
      <c r="C117" s="4" t="s">
        <v>175</v>
      </c>
      <c r="D117" s="4" t="s">
        <v>208</v>
      </c>
      <c r="E117" s="4" t="s">
        <v>256</v>
      </c>
      <c r="F117" s="17">
        <v>127.2</v>
      </c>
      <c r="G117" s="17">
        <v>178.5</v>
      </c>
      <c r="H117" s="17">
        <f t="shared" si="90"/>
        <v>14480.447999999988</v>
      </c>
      <c r="I117" s="17">
        <f t="shared" si="91"/>
        <v>8224.752000000013</v>
      </c>
      <c r="J117" s="17">
        <f t="shared" si="92"/>
        <v>22705.2</v>
      </c>
      <c r="K117" s="17">
        <v>0.14424</v>
      </c>
      <c r="L117" s="17">
        <f t="shared" si="93"/>
        <v>18.347328</v>
      </c>
      <c r="M117" s="29" t="s">
        <v>279</v>
      </c>
      <c r="N117" s="29" t="s">
        <v>7</v>
      </c>
      <c r="O117" s="17">
        <f t="shared" si="94"/>
        <v>0</v>
      </c>
      <c r="Z117" s="17">
        <f t="shared" si="95"/>
        <v>0</v>
      </c>
      <c r="AA117" s="17">
        <f t="shared" si="96"/>
        <v>0</v>
      </c>
      <c r="AB117" s="17">
        <f t="shared" si="97"/>
        <v>22705.2</v>
      </c>
      <c r="AD117" s="34">
        <v>21</v>
      </c>
      <c r="AE117" s="34">
        <f>G117*0.637759103641456</f>
        <v>113.8399999999999</v>
      </c>
      <c r="AF117" s="34">
        <f>G117*(1-0.637759103641456)</f>
        <v>64.6600000000001</v>
      </c>
      <c r="AM117" s="34">
        <f t="shared" si="98"/>
        <v>14480.447999999988</v>
      </c>
      <c r="AN117" s="34">
        <f t="shared" si="99"/>
        <v>8224.752000000013</v>
      </c>
      <c r="AO117" s="35" t="s">
        <v>302</v>
      </c>
      <c r="AP117" s="35" t="s">
        <v>311</v>
      </c>
      <c r="AQ117" s="26" t="s">
        <v>313</v>
      </c>
    </row>
    <row r="118" spans="1:43" ht="12.75">
      <c r="A118" s="5" t="s">
        <v>103</v>
      </c>
      <c r="B118" s="5"/>
      <c r="C118" s="5" t="s">
        <v>176</v>
      </c>
      <c r="D118" s="5" t="s">
        <v>209</v>
      </c>
      <c r="E118" s="5" t="s">
        <v>258</v>
      </c>
      <c r="F118" s="18">
        <v>440</v>
      </c>
      <c r="G118" s="18">
        <v>14.6</v>
      </c>
      <c r="H118" s="18">
        <f t="shared" si="90"/>
        <v>6424</v>
      </c>
      <c r="I118" s="18">
        <f t="shared" si="91"/>
        <v>0</v>
      </c>
      <c r="J118" s="18">
        <f t="shared" si="92"/>
        <v>6424</v>
      </c>
      <c r="K118" s="18">
        <v>0.0052</v>
      </c>
      <c r="L118" s="18">
        <f t="shared" si="93"/>
        <v>2.288</v>
      </c>
      <c r="M118" s="30" t="s">
        <v>279</v>
      </c>
      <c r="N118" s="30" t="s">
        <v>282</v>
      </c>
      <c r="O118" s="18">
        <f t="shared" si="94"/>
        <v>0</v>
      </c>
      <c r="Z118" s="18">
        <f t="shared" si="95"/>
        <v>0</v>
      </c>
      <c r="AA118" s="18">
        <f t="shared" si="96"/>
        <v>0</v>
      </c>
      <c r="AB118" s="18">
        <f t="shared" si="97"/>
        <v>6424</v>
      </c>
      <c r="AD118" s="34">
        <v>21</v>
      </c>
      <c r="AE118" s="34">
        <f>G118*1</f>
        <v>14.6</v>
      </c>
      <c r="AF118" s="34">
        <f>G118*(1-1)</f>
        <v>0</v>
      </c>
      <c r="AM118" s="34">
        <f t="shared" si="98"/>
        <v>6424</v>
      </c>
      <c r="AN118" s="34">
        <f t="shared" si="99"/>
        <v>0</v>
      </c>
      <c r="AO118" s="35" t="s">
        <v>302</v>
      </c>
      <c r="AP118" s="35" t="s">
        <v>311</v>
      </c>
      <c r="AQ118" s="26" t="s">
        <v>313</v>
      </c>
    </row>
    <row r="119" spans="1:43" ht="12.75">
      <c r="A119" s="4" t="s">
        <v>104</v>
      </c>
      <c r="B119" s="4"/>
      <c r="C119" s="4" t="s">
        <v>194</v>
      </c>
      <c r="D119" s="4" t="s">
        <v>231</v>
      </c>
      <c r="E119" s="4" t="s">
        <v>255</v>
      </c>
      <c r="F119" s="17">
        <v>38.1</v>
      </c>
      <c r="G119" s="17">
        <v>20</v>
      </c>
      <c r="H119" s="17">
        <f t="shared" si="90"/>
        <v>0</v>
      </c>
      <c r="I119" s="17">
        <f t="shared" si="91"/>
        <v>762</v>
      </c>
      <c r="J119" s="17">
        <f t="shared" si="92"/>
        <v>762</v>
      </c>
      <c r="K119" s="17">
        <v>0.1</v>
      </c>
      <c r="L119" s="17">
        <f t="shared" si="93"/>
        <v>3.8100000000000005</v>
      </c>
      <c r="M119" s="29" t="s">
        <v>279</v>
      </c>
      <c r="N119" s="29" t="s">
        <v>7</v>
      </c>
      <c r="O119" s="17">
        <f t="shared" si="94"/>
        <v>0</v>
      </c>
      <c r="Z119" s="17">
        <f t="shared" si="95"/>
        <v>0</v>
      </c>
      <c r="AA119" s="17">
        <f t="shared" si="96"/>
        <v>0</v>
      </c>
      <c r="AB119" s="17">
        <f t="shared" si="97"/>
        <v>762</v>
      </c>
      <c r="AD119" s="34">
        <v>21</v>
      </c>
      <c r="AE119" s="34">
        <f>G119*0</f>
        <v>0</v>
      </c>
      <c r="AF119" s="34">
        <f>G119*(1-0)</f>
        <v>20</v>
      </c>
      <c r="AM119" s="34">
        <f t="shared" si="98"/>
        <v>0</v>
      </c>
      <c r="AN119" s="34">
        <f t="shared" si="99"/>
        <v>762</v>
      </c>
      <c r="AO119" s="35" t="s">
        <v>302</v>
      </c>
      <c r="AP119" s="35" t="s">
        <v>311</v>
      </c>
      <c r="AQ119" s="26" t="s">
        <v>313</v>
      </c>
    </row>
    <row r="120" spans="1:43" ht="12.75">
      <c r="A120" s="4" t="s">
        <v>105</v>
      </c>
      <c r="B120" s="4"/>
      <c r="C120" s="4" t="s">
        <v>195</v>
      </c>
      <c r="D120" s="4" t="s">
        <v>240</v>
      </c>
      <c r="E120" s="4" t="s">
        <v>255</v>
      </c>
      <c r="F120" s="17">
        <v>76.5</v>
      </c>
      <c r="G120" s="17">
        <v>220</v>
      </c>
      <c r="H120" s="17">
        <f t="shared" si="90"/>
        <v>7683.660000000007</v>
      </c>
      <c r="I120" s="17">
        <f t="shared" si="91"/>
        <v>9146.339999999993</v>
      </c>
      <c r="J120" s="17">
        <f t="shared" si="92"/>
        <v>16830</v>
      </c>
      <c r="K120" s="17">
        <v>0.2334</v>
      </c>
      <c r="L120" s="17">
        <f t="shared" si="93"/>
        <v>17.8551</v>
      </c>
      <c r="M120" s="29" t="s">
        <v>281</v>
      </c>
      <c r="N120" s="29" t="s">
        <v>7</v>
      </c>
      <c r="O120" s="17">
        <f t="shared" si="94"/>
        <v>0</v>
      </c>
      <c r="Z120" s="17">
        <f t="shared" si="95"/>
        <v>0</v>
      </c>
      <c r="AA120" s="17">
        <f t="shared" si="96"/>
        <v>0</v>
      </c>
      <c r="AB120" s="17">
        <f t="shared" si="97"/>
        <v>16830</v>
      </c>
      <c r="AD120" s="34">
        <v>21</v>
      </c>
      <c r="AE120" s="34">
        <f>G120*0.456545454545455</f>
        <v>100.4400000000001</v>
      </c>
      <c r="AF120" s="34">
        <f>G120*(1-0.456545454545455)</f>
        <v>119.55999999999989</v>
      </c>
      <c r="AM120" s="34">
        <f t="shared" si="98"/>
        <v>7683.660000000007</v>
      </c>
      <c r="AN120" s="34">
        <f t="shared" si="99"/>
        <v>9146.339999999991</v>
      </c>
      <c r="AO120" s="35" t="s">
        <v>302</v>
      </c>
      <c r="AP120" s="35" t="s">
        <v>311</v>
      </c>
      <c r="AQ120" s="26" t="s">
        <v>313</v>
      </c>
    </row>
    <row r="121" spans="1:43" ht="12.75">
      <c r="A121" s="4" t="s">
        <v>106</v>
      </c>
      <c r="B121" s="4"/>
      <c r="C121" s="4" t="s">
        <v>181</v>
      </c>
      <c r="D121" s="4" t="s">
        <v>214</v>
      </c>
      <c r="E121" s="4" t="s">
        <v>259</v>
      </c>
      <c r="F121" s="17">
        <v>34.21</v>
      </c>
      <c r="G121" s="17">
        <v>530</v>
      </c>
      <c r="H121" s="17">
        <f t="shared" si="90"/>
        <v>0</v>
      </c>
      <c r="I121" s="17">
        <f t="shared" si="91"/>
        <v>18131.3</v>
      </c>
      <c r="J121" s="17">
        <f t="shared" si="92"/>
        <v>18131.3</v>
      </c>
      <c r="K121" s="17">
        <v>0</v>
      </c>
      <c r="L121" s="17">
        <f t="shared" si="93"/>
        <v>0</v>
      </c>
      <c r="M121" s="29" t="s">
        <v>280</v>
      </c>
      <c r="N121" s="29" t="s">
        <v>11</v>
      </c>
      <c r="O121" s="17">
        <f t="shared" si="94"/>
        <v>18131.3</v>
      </c>
      <c r="Z121" s="17">
        <f t="shared" si="95"/>
        <v>0</v>
      </c>
      <c r="AA121" s="17">
        <f t="shared" si="96"/>
        <v>0</v>
      </c>
      <c r="AB121" s="17">
        <f t="shared" si="97"/>
        <v>18131.3</v>
      </c>
      <c r="AD121" s="34">
        <v>21</v>
      </c>
      <c r="AE121" s="34">
        <f>G121*0</f>
        <v>0</v>
      </c>
      <c r="AF121" s="34">
        <f>G121*(1-0)</f>
        <v>530</v>
      </c>
      <c r="AM121" s="34">
        <f t="shared" si="98"/>
        <v>0</v>
      </c>
      <c r="AN121" s="34">
        <f t="shared" si="99"/>
        <v>18131.3</v>
      </c>
      <c r="AO121" s="35" t="s">
        <v>302</v>
      </c>
      <c r="AP121" s="35" t="s">
        <v>311</v>
      </c>
      <c r="AQ121" s="26" t="s">
        <v>313</v>
      </c>
    </row>
    <row r="122" spans="1:43" ht="12.75">
      <c r="A122" s="4" t="s">
        <v>107</v>
      </c>
      <c r="B122" s="4"/>
      <c r="C122" s="4" t="s">
        <v>182</v>
      </c>
      <c r="D122" s="4" t="s">
        <v>215</v>
      </c>
      <c r="E122" s="4" t="s">
        <v>259</v>
      </c>
      <c r="F122" s="17">
        <v>100.56</v>
      </c>
      <c r="G122" s="17">
        <v>50.6</v>
      </c>
      <c r="H122" s="17">
        <f t="shared" si="90"/>
        <v>0</v>
      </c>
      <c r="I122" s="17">
        <f t="shared" si="91"/>
        <v>5088.336</v>
      </c>
      <c r="J122" s="17">
        <f t="shared" si="92"/>
        <v>5088.336</v>
      </c>
      <c r="K122" s="17">
        <v>0</v>
      </c>
      <c r="L122" s="17">
        <f t="shared" si="93"/>
        <v>0</v>
      </c>
      <c r="M122" s="29" t="s">
        <v>281</v>
      </c>
      <c r="N122" s="29" t="s">
        <v>11</v>
      </c>
      <c r="O122" s="17">
        <f t="shared" si="94"/>
        <v>5088.336</v>
      </c>
      <c r="Z122" s="17">
        <f t="shared" si="95"/>
        <v>0</v>
      </c>
      <c r="AA122" s="17">
        <f t="shared" si="96"/>
        <v>0</v>
      </c>
      <c r="AB122" s="17">
        <f t="shared" si="97"/>
        <v>5088.336</v>
      </c>
      <c r="AD122" s="34">
        <v>21</v>
      </c>
      <c r="AE122" s="34">
        <f>G122*0</f>
        <v>0</v>
      </c>
      <c r="AF122" s="34">
        <f>G122*(1-0)</f>
        <v>50.6</v>
      </c>
      <c r="AM122" s="34">
        <f t="shared" si="98"/>
        <v>0</v>
      </c>
      <c r="AN122" s="34">
        <f t="shared" si="99"/>
        <v>5088.336</v>
      </c>
      <c r="AO122" s="35" t="s">
        <v>302</v>
      </c>
      <c r="AP122" s="35" t="s">
        <v>311</v>
      </c>
      <c r="AQ122" s="26" t="s">
        <v>313</v>
      </c>
    </row>
    <row r="123" spans="1:37" ht="12.75">
      <c r="A123" s="6"/>
      <c r="B123" s="13"/>
      <c r="C123" s="13" t="s">
        <v>20</v>
      </c>
      <c r="D123" s="72" t="s">
        <v>241</v>
      </c>
      <c r="E123" s="73"/>
      <c r="F123" s="73"/>
      <c r="G123" s="73"/>
      <c r="H123" s="37">
        <f>SUM(H124:H133)</f>
        <v>57705.23599999999</v>
      </c>
      <c r="I123" s="37">
        <f>SUM(I124:I133)</f>
        <v>91643.326</v>
      </c>
      <c r="J123" s="37">
        <f>H123+I123</f>
        <v>149348.56199999998</v>
      </c>
      <c r="K123" s="26"/>
      <c r="L123" s="37">
        <f>SUM(L124:L133)</f>
        <v>187.30816399999998</v>
      </c>
      <c r="M123" s="26"/>
      <c r="P123" s="37">
        <f>IF(Q123="PR",J123,SUM(O124:O133))</f>
        <v>33931.95</v>
      </c>
      <c r="Q123" s="26" t="s">
        <v>285</v>
      </c>
      <c r="R123" s="37">
        <f>IF(Q123="HS",H123,0)</f>
        <v>57705.23599999999</v>
      </c>
      <c r="S123" s="37">
        <f>IF(Q123="HS",I123-P123,0)</f>
        <v>57711.376000000004</v>
      </c>
      <c r="T123" s="37">
        <f>IF(Q123="PS",H123,0)</f>
        <v>0</v>
      </c>
      <c r="U123" s="37">
        <f>IF(Q123="PS",I123-P123,0)</f>
        <v>0</v>
      </c>
      <c r="V123" s="37">
        <f>IF(Q123="MP",H123,0)</f>
        <v>0</v>
      </c>
      <c r="W123" s="37">
        <f>IF(Q123="MP",I123-P123,0)</f>
        <v>0</v>
      </c>
      <c r="X123" s="37">
        <f>IF(Q123="OM",H123,0)</f>
        <v>0</v>
      </c>
      <c r="Y123" s="26"/>
      <c r="AI123" s="37">
        <f>SUM(Z124:Z133)</f>
        <v>0</v>
      </c>
      <c r="AJ123" s="37">
        <f>SUM(AA124:AA133)</f>
        <v>0</v>
      </c>
      <c r="AK123" s="37">
        <f>SUM(AB124:AB133)</f>
        <v>149348.56199999998</v>
      </c>
    </row>
    <row r="124" spans="1:43" ht="12.75">
      <c r="A124" s="4" t="s">
        <v>108</v>
      </c>
      <c r="B124" s="4"/>
      <c r="C124" s="4" t="s">
        <v>171</v>
      </c>
      <c r="D124" s="4" t="s">
        <v>204</v>
      </c>
      <c r="E124" s="4" t="s">
        <v>255</v>
      </c>
      <c r="F124" s="17">
        <v>114</v>
      </c>
      <c r="G124" s="17">
        <v>155</v>
      </c>
      <c r="H124" s="17">
        <f aca="true" t="shared" si="100" ref="H124:H133">F124*AE124</f>
        <v>327.1800000000007</v>
      </c>
      <c r="I124" s="17">
        <f aca="true" t="shared" si="101" ref="I124:I133">J124-H124</f>
        <v>17342.82</v>
      </c>
      <c r="J124" s="17">
        <f aca="true" t="shared" si="102" ref="J124:J133">F124*G124</f>
        <v>17670</v>
      </c>
      <c r="K124" s="17">
        <v>0.42</v>
      </c>
      <c r="L124" s="17">
        <f aca="true" t="shared" si="103" ref="L124:L133">F124*K124</f>
        <v>47.879999999999995</v>
      </c>
      <c r="M124" s="29" t="s">
        <v>279</v>
      </c>
      <c r="N124" s="29" t="s">
        <v>9</v>
      </c>
      <c r="O124" s="17">
        <f aca="true" t="shared" si="104" ref="O124:O133">IF(N124="5",I124,0)</f>
        <v>0</v>
      </c>
      <c r="Z124" s="17">
        <f aca="true" t="shared" si="105" ref="Z124:Z133">IF(AD124=0,J124,0)</f>
        <v>0</v>
      </c>
      <c r="AA124" s="17">
        <f aca="true" t="shared" si="106" ref="AA124:AA133">IF(AD124=15,J124,0)</f>
        <v>0</v>
      </c>
      <c r="AB124" s="17">
        <f aca="true" t="shared" si="107" ref="AB124:AB133">IF(AD124=21,J124,0)</f>
        <v>17670</v>
      </c>
      <c r="AD124" s="34">
        <v>21</v>
      </c>
      <c r="AE124" s="34">
        <f>G124*0.0185161290322581</f>
        <v>2.870000000000006</v>
      </c>
      <c r="AF124" s="34">
        <f>G124*(1-0.0185161290322581)</f>
        <v>152.13</v>
      </c>
      <c r="AM124" s="34">
        <f aca="true" t="shared" si="108" ref="AM124:AM133">F124*AE124</f>
        <v>327.1800000000007</v>
      </c>
      <c r="AN124" s="34">
        <f aca="true" t="shared" si="109" ref="AN124:AN133">F124*AF124</f>
        <v>17342.82</v>
      </c>
      <c r="AO124" s="35" t="s">
        <v>303</v>
      </c>
      <c r="AP124" s="35" t="s">
        <v>311</v>
      </c>
      <c r="AQ124" s="26" t="s">
        <v>313</v>
      </c>
    </row>
    <row r="125" spans="1:43" ht="12.75">
      <c r="A125" s="4" t="s">
        <v>109</v>
      </c>
      <c r="B125" s="4"/>
      <c r="C125" s="4" t="s">
        <v>172</v>
      </c>
      <c r="D125" s="4" t="s">
        <v>205</v>
      </c>
      <c r="E125" s="4" t="s">
        <v>256</v>
      </c>
      <c r="F125" s="17">
        <v>190</v>
      </c>
      <c r="G125" s="17">
        <v>28.8</v>
      </c>
      <c r="H125" s="17">
        <f t="shared" si="100"/>
        <v>0</v>
      </c>
      <c r="I125" s="17">
        <f t="shared" si="101"/>
        <v>5472</v>
      </c>
      <c r="J125" s="17">
        <f t="shared" si="102"/>
        <v>5472</v>
      </c>
      <c r="K125" s="17">
        <v>0.017</v>
      </c>
      <c r="L125" s="17">
        <f t="shared" si="103"/>
        <v>3.2300000000000004</v>
      </c>
      <c r="M125" s="29" t="s">
        <v>279</v>
      </c>
      <c r="N125" s="29" t="s">
        <v>8</v>
      </c>
      <c r="O125" s="17">
        <f t="shared" si="104"/>
        <v>0</v>
      </c>
      <c r="Z125" s="17">
        <f t="shared" si="105"/>
        <v>0</v>
      </c>
      <c r="AA125" s="17">
        <f t="shared" si="106"/>
        <v>0</v>
      </c>
      <c r="AB125" s="17">
        <f t="shared" si="107"/>
        <v>5472</v>
      </c>
      <c r="AD125" s="34">
        <v>21</v>
      </c>
      <c r="AE125" s="34">
        <f>G125*0</f>
        <v>0</v>
      </c>
      <c r="AF125" s="34">
        <f>G125*(1-0)</f>
        <v>28.8</v>
      </c>
      <c r="AM125" s="34">
        <f t="shared" si="108"/>
        <v>0</v>
      </c>
      <c r="AN125" s="34">
        <f t="shared" si="109"/>
        <v>5472</v>
      </c>
      <c r="AO125" s="35" t="s">
        <v>303</v>
      </c>
      <c r="AP125" s="35" t="s">
        <v>311</v>
      </c>
      <c r="AQ125" s="26" t="s">
        <v>313</v>
      </c>
    </row>
    <row r="126" spans="1:43" ht="12.75">
      <c r="A126" s="4" t="s">
        <v>110</v>
      </c>
      <c r="B126" s="4"/>
      <c r="C126" s="4" t="s">
        <v>173</v>
      </c>
      <c r="D126" s="4" t="s">
        <v>206</v>
      </c>
      <c r="E126" s="4" t="s">
        <v>257</v>
      </c>
      <c r="F126" s="17">
        <v>28.5</v>
      </c>
      <c r="G126" s="17">
        <v>155</v>
      </c>
      <c r="H126" s="17">
        <f t="shared" si="100"/>
        <v>0</v>
      </c>
      <c r="I126" s="17">
        <f t="shared" si="101"/>
        <v>4417.5</v>
      </c>
      <c r="J126" s="17">
        <f t="shared" si="102"/>
        <v>4417.5</v>
      </c>
      <c r="K126" s="17">
        <v>1.6</v>
      </c>
      <c r="L126" s="17">
        <f t="shared" si="103"/>
        <v>45.6</v>
      </c>
      <c r="M126" s="29" t="s">
        <v>280</v>
      </c>
      <c r="N126" s="29" t="s">
        <v>7</v>
      </c>
      <c r="O126" s="17">
        <f t="shared" si="104"/>
        <v>0</v>
      </c>
      <c r="Z126" s="17">
        <f t="shared" si="105"/>
        <v>0</v>
      </c>
      <c r="AA126" s="17">
        <f t="shared" si="106"/>
        <v>0</v>
      </c>
      <c r="AB126" s="17">
        <f t="shared" si="107"/>
        <v>4417.5</v>
      </c>
      <c r="AD126" s="34">
        <v>21</v>
      </c>
      <c r="AE126" s="34">
        <f>G126*0</f>
        <v>0</v>
      </c>
      <c r="AF126" s="34">
        <f>G126*(1-0)</f>
        <v>155</v>
      </c>
      <c r="AM126" s="34">
        <f t="shared" si="108"/>
        <v>0</v>
      </c>
      <c r="AN126" s="34">
        <f t="shared" si="109"/>
        <v>4417.5</v>
      </c>
      <c r="AO126" s="35" t="s">
        <v>303</v>
      </c>
      <c r="AP126" s="35" t="s">
        <v>311</v>
      </c>
      <c r="AQ126" s="26" t="s">
        <v>313</v>
      </c>
    </row>
    <row r="127" spans="1:43" ht="12.75">
      <c r="A127" s="4" t="s">
        <v>111</v>
      </c>
      <c r="B127" s="4"/>
      <c r="C127" s="4" t="s">
        <v>186</v>
      </c>
      <c r="D127" s="4" t="s">
        <v>225</v>
      </c>
      <c r="E127" s="4" t="s">
        <v>255</v>
      </c>
      <c r="F127" s="17">
        <v>145.2</v>
      </c>
      <c r="G127" s="17">
        <v>124.56</v>
      </c>
      <c r="H127" s="17">
        <f t="shared" si="100"/>
        <v>14662.295999999997</v>
      </c>
      <c r="I127" s="17">
        <f t="shared" si="101"/>
        <v>3423.8160000000007</v>
      </c>
      <c r="J127" s="17">
        <f t="shared" si="102"/>
        <v>18086.111999999997</v>
      </c>
      <c r="K127" s="17">
        <v>0.18907</v>
      </c>
      <c r="L127" s="17">
        <f t="shared" si="103"/>
        <v>27.452963999999994</v>
      </c>
      <c r="M127" s="29" t="s">
        <v>279</v>
      </c>
      <c r="N127" s="29" t="s">
        <v>7</v>
      </c>
      <c r="O127" s="17">
        <f t="shared" si="104"/>
        <v>0</v>
      </c>
      <c r="Z127" s="17">
        <f t="shared" si="105"/>
        <v>0</v>
      </c>
      <c r="AA127" s="17">
        <f t="shared" si="106"/>
        <v>0</v>
      </c>
      <c r="AB127" s="17">
        <f t="shared" si="107"/>
        <v>18086.111999999997</v>
      </c>
      <c r="AD127" s="34">
        <v>21</v>
      </c>
      <c r="AE127" s="34">
        <f>G127*0.810693641618497</f>
        <v>100.97999999999999</v>
      </c>
      <c r="AF127" s="34">
        <f>G127*(1-0.810693641618497)</f>
        <v>23.580000000000016</v>
      </c>
      <c r="AM127" s="34">
        <f t="shared" si="108"/>
        <v>14662.295999999997</v>
      </c>
      <c r="AN127" s="34">
        <f t="shared" si="109"/>
        <v>3423.816000000002</v>
      </c>
      <c r="AO127" s="35" t="s">
        <v>303</v>
      </c>
      <c r="AP127" s="35" t="s">
        <v>311</v>
      </c>
      <c r="AQ127" s="26" t="s">
        <v>313</v>
      </c>
    </row>
    <row r="128" spans="1:43" ht="12.75">
      <c r="A128" s="4" t="s">
        <v>112</v>
      </c>
      <c r="B128" s="4"/>
      <c r="C128" s="4" t="s">
        <v>175</v>
      </c>
      <c r="D128" s="4" t="s">
        <v>208</v>
      </c>
      <c r="E128" s="4" t="s">
        <v>256</v>
      </c>
      <c r="F128" s="17">
        <v>190</v>
      </c>
      <c r="G128" s="17">
        <v>178.5</v>
      </c>
      <c r="H128" s="17">
        <f t="shared" si="100"/>
        <v>21629.59999999998</v>
      </c>
      <c r="I128" s="17">
        <f t="shared" si="101"/>
        <v>12285.40000000002</v>
      </c>
      <c r="J128" s="17">
        <f t="shared" si="102"/>
        <v>33915</v>
      </c>
      <c r="K128" s="17">
        <v>0.14424</v>
      </c>
      <c r="L128" s="17">
        <f t="shared" si="103"/>
        <v>27.4056</v>
      </c>
      <c r="M128" s="29" t="s">
        <v>279</v>
      </c>
      <c r="N128" s="29" t="s">
        <v>7</v>
      </c>
      <c r="O128" s="17">
        <f t="shared" si="104"/>
        <v>0</v>
      </c>
      <c r="Z128" s="17">
        <f t="shared" si="105"/>
        <v>0</v>
      </c>
      <c r="AA128" s="17">
        <f t="shared" si="106"/>
        <v>0</v>
      </c>
      <c r="AB128" s="17">
        <f t="shared" si="107"/>
        <v>33915</v>
      </c>
      <c r="AD128" s="34">
        <v>21</v>
      </c>
      <c r="AE128" s="34">
        <f>G128*0.637759103641456</f>
        <v>113.8399999999999</v>
      </c>
      <c r="AF128" s="34">
        <f>G128*(1-0.637759103641456)</f>
        <v>64.6600000000001</v>
      </c>
      <c r="AM128" s="34">
        <f t="shared" si="108"/>
        <v>21629.59999999998</v>
      </c>
      <c r="AN128" s="34">
        <f t="shared" si="109"/>
        <v>12285.400000000018</v>
      </c>
      <c r="AO128" s="35" t="s">
        <v>303</v>
      </c>
      <c r="AP128" s="35" t="s">
        <v>311</v>
      </c>
      <c r="AQ128" s="26" t="s">
        <v>313</v>
      </c>
    </row>
    <row r="129" spans="1:43" ht="12.75">
      <c r="A129" s="5" t="s">
        <v>113</v>
      </c>
      <c r="B129" s="5"/>
      <c r="C129" s="5" t="s">
        <v>176</v>
      </c>
      <c r="D129" s="5" t="s">
        <v>209</v>
      </c>
      <c r="E129" s="5" t="s">
        <v>258</v>
      </c>
      <c r="F129" s="18">
        <v>660</v>
      </c>
      <c r="G129" s="18">
        <v>14.6</v>
      </c>
      <c r="H129" s="18">
        <f t="shared" si="100"/>
        <v>9636</v>
      </c>
      <c r="I129" s="18">
        <f t="shared" si="101"/>
        <v>0</v>
      </c>
      <c r="J129" s="18">
        <f t="shared" si="102"/>
        <v>9636</v>
      </c>
      <c r="K129" s="18">
        <v>0.0052</v>
      </c>
      <c r="L129" s="18">
        <f t="shared" si="103"/>
        <v>3.432</v>
      </c>
      <c r="M129" s="30" t="s">
        <v>279</v>
      </c>
      <c r="N129" s="30" t="s">
        <v>282</v>
      </c>
      <c r="O129" s="18">
        <f t="shared" si="104"/>
        <v>0</v>
      </c>
      <c r="Z129" s="18">
        <f t="shared" si="105"/>
        <v>0</v>
      </c>
      <c r="AA129" s="18">
        <f t="shared" si="106"/>
        <v>0</v>
      </c>
      <c r="AB129" s="18">
        <f t="shared" si="107"/>
        <v>9636</v>
      </c>
      <c r="AD129" s="34">
        <v>21</v>
      </c>
      <c r="AE129" s="34">
        <f>G129*1</f>
        <v>14.6</v>
      </c>
      <c r="AF129" s="34">
        <f>G129*(1-1)</f>
        <v>0</v>
      </c>
      <c r="AM129" s="34">
        <f t="shared" si="108"/>
        <v>9636</v>
      </c>
      <c r="AN129" s="34">
        <f t="shared" si="109"/>
        <v>0</v>
      </c>
      <c r="AO129" s="35" t="s">
        <v>303</v>
      </c>
      <c r="AP129" s="35" t="s">
        <v>311</v>
      </c>
      <c r="AQ129" s="26" t="s">
        <v>313</v>
      </c>
    </row>
    <row r="130" spans="1:43" ht="12.75">
      <c r="A130" s="4" t="s">
        <v>114</v>
      </c>
      <c r="B130" s="4"/>
      <c r="C130" s="4" t="s">
        <v>194</v>
      </c>
      <c r="D130" s="4" t="s">
        <v>231</v>
      </c>
      <c r="E130" s="4" t="s">
        <v>255</v>
      </c>
      <c r="F130" s="17">
        <v>57</v>
      </c>
      <c r="G130" s="17">
        <v>20</v>
      </c>
      <c r="H130" s="17">
        <f t="shared" si="100"/>
        <v>0</v>
      </c>
      <c r="I130" s="17">
        <f t="shared" si="101"/>
        <v>1140</v>
      </c>
      <c r="J130" s="17">
        <f t="shared" si="102"/>
        <v>1140</v>
      </c>
      <c r="K130" s="17">
        <v>0.1</v>
      </c>
      <c r="L130" s="17">
        <f t="shared" si="103"/>
        <v>5.7</v>
      </c>
      <c r="M130" s="29" t="s">
        <v>279</v>
      </c>
      <c r="N130" s="29" t="s">
        <v>7</v>
      </c>
      <c r="O130" s="17">
        <f t="shared" si="104"/>
        <v>0</v>
      </c>
      <c r="Z130" s="17">
        <f t="shared" si="105"/>
        <v>0</v>
      </c>
      <c r="AA130" s="17">
        <f t="shared" si="106"/>
        <v>0</v>
      </c>
      <c r="AB130" s="17">
        <f t="shared" si="107"/>
        <v>1140</v>
      </c>
      <c r="AD130" s="34">
        <v>21</v>
      </c>
      <c r="AE130" s="34">
        <f>G130*0</f>
        <v>0</v>
      </c>
      <c r="AF130" s="34">
        <f>G130*(1-0)</f>
        <v>20</v>
      </c>
      <c r="AM130" s="34">
        <f t="shared" si="108"/>
        <v>0</v>
      </c>
      <c r="AN130" s="34">
        <f t="shared" si="109"/>
        <v>1140</v>
      </c>
      <c r="AO130" s="35" t="s">
        <v>303</v>
      </c>
      <c r="AP130" s="35" t="s">
        <v>311</v>
      </c>
      <c r="AQ130" s="26" t="s">
        <v>313</v>
      </c>
    </row>
    <row r="131" spans="1:43" ht="12.75">
      <c r="A131" s="4" t="s">
        <v>115</v>
      </c>
      <c r="B131" s="4"/>
      <c r="C131" s="4" t="s">
        <v>195</v>
      </c>
      <c r="D131" s="4" t="s">
        <v>235</v>
      </c>
      <c r="E131" s="4" t="s">
        <v>255</v>
      </c>
      <c r="F131" s="17">
        <v>114</v>
      </c>
      <c r="G131" s="17">
        <v>220</v>
      </c>
      <c r="H131" s="17">
        <f t="shared" si="100"/>
        <v>11450.16000000001</v>
      </c>
      <c r="I131" s="17">
        <f t="shared" si="101"/>
        <v>13629.83999999999</v>
      </c>
      <c r="J131" s="17">
        <f t="shared" si="102"/>
        <v>25080</v>
      </c>
      <c r="K131" s="17">
        <v>0.2334</v>
      </c>
      <c r="L131" s="17">
        <f t="shared" si="103"/>
        <v>26.607599999999998</v>
      </c>
      <c r="M131" s="29" t="s">
        <v>281</v>
      </c>
      <c r="N131" s="29" t="s">
        <v>7</v>
      </c>
      <c r="O131" s="17">
        <f t="shared" si="104"/>
        <v>0</v>
      </c>
      <c r="Z131" s="17">
        <f t="shared" si="105"/>
        <v>0</v>
      </c>
      <c r="AA131" s="17">
        <f t="shared" si="106"/>
        <v>0</v>
      </c>
      <c r="AB131" s="17">
        <f t="shared" si="107"/>
        <v>25080</v>
      </c>
      <c r="AD131" s="34">
        <v>21</v>
      </c>
      <c r="AE131" s="34">
        <f>G131*0.456545454545455</f>
        <v>100.4400000000001</v>
      </c>
      <c r="AF131" s="34">
        <f>G131*(1-0.456545454545455)</f>
        <v>119.55999999999989</v>
      </c>
      <c r="AM131" s="34">
        <f t="shared" si="108"/>
        <v>11450.16000000001</v>
      </c>
      <c r="AN131" s="34">
        <f t="shared" si="109"/>
        <v>13629.839999999987</v>
      </c>
      <c r="AO131" s="35" t="s">
        <v>303</v>
      </c>
      <c r="AP131" s="35" t="s">
        <v>311</v>
      </c>
      <c r="AQ131" s="26" t="s">
        <v>313</v>
      </c>
    </row>
    <row r="132" spans="1:43" ht="12.75">
      <c r="A132" s="4" t="s">
        <v>116</v>
      </c>
      <c r="B132" s="4"/>
      <c r="C132" s="4" t="s">
        <v>181</v>
      </c>
      <c r="D132" s="4" t="s">
        <v>214</v>
      </c>
      <c r="E132" s="4" t="s">
        <v>259</v>
      </c>
      <c r="F132" s="17">
        <v>51.11</v>
      </c>
      <c r="G132" s="17">
        <v>530</v>
      </c>
      <c r="H132" s="17">
        <f t="shared" si="100"/>
        <v>0</v>
      </c>
      <c r="I132" s="17">
        <f t="shared" si="101"/>
        <v>27088.3</v>
      </c>
      <c r="J132" s="17">
        <f t="shared" si="102"/>
        <v>27088.3</v>
      </c>
      <c r="K132" s="17">
        <v>0</v>
      </c>
      <c r="L132" s="17">
        <f t="shared" si="103"/>
        <v>0</v>
      </c>
      <c r="M132" s="29" t="s">
        <v>280</v>
      </c>
      <c r="N132" s="29" t="s">
        <v>11</v>
      </c>
      <c r="O132" s="17">
        <f t="shared" si="104"/>
        <v>27088.3</v>
      </c>
      <c r="Z132" s="17">
        <f t="shared" si="105"/>
        <v>0</v>
      </c>
      <c r="AA132" s="17">
        <f t="shared" si="106"/>
        <v>0</v>
      </c>
      <c r="AB132" s="17">
        <f t="shared" si="107"/>
        <v>27088.3</v>
      </c>
      <c r="AD132" s="34">
        <v>21</v>
      </c>
      <c r="AE132" s="34">
        <f>G132*0</f>
        <v>0</v>
      </c>
      <c r="AF132" s="34">
        <f>G132*(1-0)</f>
        <v>530</v>
      </c>
      <c r="AM132" s="34">
        <f t="shared" si="108"/>
        <v>0</v>
      </c>
      <c r="AN132" s="34">
        <f t="shared" si="109"/>
        <v>27088.3</v>
      </c>
      <c r="AO132" s="35" t="s">
        <v>303</v>
      </c>
      <c r="AP132" s="35" t="s">
        <v>311</v>
      </c>
      <c r="AQ132" s="26" t="s">
        <v>313</v>
      </c>
    </row>
    <row r="133" spans="1:43" ht="12.75">
      <c r="A133" s="4" t="s">
        <v>117</v>
      </c>
      <c r="B133" s="4"/>
      <c r="C133" s="4" t="s">
        <v>182</v>
      </c>
      <c r="D133" s="4" t="s">
        <v>215</v>
      </c>
      <c r="E133" s="4" t="s">
        <v>259</v>
      </c>
      <c r="F133" s="17">
        <v>135.25</v>
      </c>
      <c r="G133" s="17">
        <v>50.6</v>
      </c>
      <c r="H133" s="17">
        <f t="shared" si="100"/>
        <v>0</v>
      </c>
      <c r="I133" s="17">
        <f t="shared" si="101"/>
        <v>6843.650000000001</v>
      </c>
      <c r="J133" s="17">
        <f t="shared" si="102"/>
        <v>6843.650000000001</v>
      </c>
      <c r="K133" s="17">
        <v>0</v>
      </c>
      <c r="L133" s="17">
        <f t="shared" si="103"/>
        <v>0</v>
      </c>
      <c r="M133" s="29" t="s">
        <v>281</v>
      </c>
      <c r="N133" s="29" t="s">
        <v>11</v>
      </c>
      <c r="O133" s="17">
        <f t="shared" si="104"/>
        <v>6843.650000000001</v>
      </c>
      <c r="Z133" s="17">
        <f t="shared" si="105"/>
        <v>0</v>
      </c>
      <c r="AA133" s="17">
        <f t="shared" si="106"/>
        <v>0</v>
      </c>
      <c r="AB133" s="17">
        <f t="shared" si="107"/>
        <v>6843.650000000001</v>
      </c>
      <c r="AD133" s="34">
        <v>21</v>
      </c>
      <c r="AE133" s="34">
        <f>G133*0</f>
        <v>0</v>
      </c>
      <c r="AF133" s="34">
        <f>G133*(1-0)</f>
        <v>50.6</v>
      </c>
      <c r="AM133" s="34">
        <f t="shared" si="108"/>
        <v>0</v>
      </c>
      <c r="AN133" s="34">
        <f t="shared" si="109"/>
        <v>6843.650000000001</v>
      </c>
      <c r="AO133" s="35" t="s">
        <v>303</v>
      </c>
      <c r="AP133" s="35" t="s">
        <v>311</v>
      </c>
      <c r="AQ133" s="26" t="s">
        <v>313</v>
      </c>
    </row>
    <row r="134" spans="1:37" ht="12.75">
      <c r="A134" s="6"/>
      <c r="B134" s="13"/>
      <c r="C134" s="13" t="s">
        <v>21</v>
      </c>
      <c r="D134" s="72" t="s">
        <v>242</v>
      </c>
      <c r="E134" s="73"/>
      <c r="F134" s="73"/>
      <c r="G134" s="73"/>
      <c r="H134" s="37">
        <f>SUM(H135:H144)</f>
        <v>28751.399999999998</v>
      </c>
      <c r="I134" s="37">
        <f>SUM(I135:I144)</f>
        <v>47714.85400000001</v>
      </c>
      <c r="J134" s="37">
        <f>H134+I134</f>
        <v>76466.254</v>
      </c>
      <c r="K134" s="26"/>
      <c r="L134" s="37">
        <f>SUM(L135:L144)</f>
        <v>95.4922</v>
      </c>
      <c r="M134" s="26"/>
      <c r="P134" s="37">
        <f>IF(Q134="PR",J134,SUM(O135:O144))</f>
        <v>17727.654000000002</v>
      </c>
      <c r="Q134" s="26" t="s">
        <v>285</v>
      </c>
      <c r="R134" s="37">
        <f>IF(Q134="HS",H134,0)</f>
        <v>28751.399999999998</v>
      </c>
      <c r="S134" s="37">
        <f>IF(Q134="HS",I134-P134,0)</f>
        <v>29987.200000000004</v>
      </c>
      <c r="T134" s="37">
        <f>IF(Q134="PS",H134,0)</f>
        <v>0</v>
      </c>
      <c r="U134" s="37">
        <f>IF(Q134="PS",I134-P134,0)</f>
        <v>0</v>
      </c>
      <c r="V134" s="37">
        <f>IF(Q134="MP",H134,0)</f>
        <v>0</v>
      </c>
      <c r="W134" s="37">
        <f>IF(Q134="MP",I134-P134,0)</f>
        <v>0</v>
      </c>
      <c r="X134" s="37">
        <f>IF(Q134="OM",H134,0)</f>
        <v>0</v>
      </c>
      <c r="Y134" s="26"/>
      <c r="AI134" s="37">
        <f>SUM(Z135:Z144)</f>
        <v>0</v>
      </c>
      <c r="AJ134" s="37">
        <f>SUM(AA135:AA144)</f>
        <v>0</v>
      </c>
      <c r="AK134" s="37">
        <f>SUM(AB135:AB144)</f>
        <v>76466.254</v>
      </c>
    </row>
    <row r="135" spans="1:43" ht="12.75">
      <c r="A135" s="4" t="s">
        <v>118</v>
      </c>
      <c r="B135" s="4"/>
      <c r="C135" s="4" t="s">
        <v>171</v>
      </c>
      <c r="D135" s="4" t="s">
        <v>204</v>
      </c>
      <c r="E135" s="4" t="s">
        <v>255</v>
      </c>
      <c r="F135" s="17">
        <v>60</v>
      </c>
      <c r="G135" s="17">
        <v>155</v>
      </c>
      <c r="H135" s="17">
        <f aca="true" t="shared" si="110" ref="H135:H144">F135*AE135</f>
        <v>172.20000000000036</v>
      </c>
      <c r="I135" s="17">
        <f aca="true" t="shared" si="111" ref="I135:I144">J135-H135</f>
        <v>9127.8</v>
      </c>
      <c r="J135" s="17">
        <f aca="true" t="shared" si="112" ref="J135:J144">F135*G135</f>
        <v>9300</v>
      </c>
      <c r="K135" s="17">
        <v>0.42</v>
      </c>
      <c r="L135" s="17">
        <f aca="true" t="shared" si="113" ref="L135:L144">F135*K135</f>
        <v>25.2</v>
      </c>
      <c r="M135" s="29" t="s">
        <v>279</v>
      </c>
      <c r="N135" s="29" t="s">
        <v>9</v>
      </c>
      <c r="O135" s="17">
        <f aca="true" t="shared" si="114" ref="O135:O144">IF(N135="5",I135,0)</f>
        <v>0</v>
      </c>
      <c r="Z135" s="17">
        <f aca="true" t="shared" si="115" ref="Z135:Z144">IF(AD135=0,J135,0)</f>
        <v>0</v>
      </c>
      <c r="AA135" s="17">
        <f aca="true" t="shared" si="116" ref="AA135:AA144">IF(AD135=15,J135,0)</f>
        <v>0</v>
      </c>
      <c r="AB135" s="17">
        <f aca="true" t="shared" si="117" ref="AB135:AB144">IF(AD135=21,J135,0)</f>
        <v>9300</v>
      </c>
      <c r="AD135" s="34">
        <v>21</v>
      </c>
      <c r="AE135" s="34">
        <f>G135*0.0185161290322581</f>
        <v>2.870000000000006</v>
      </c>
      <c r="AF135" s="34">
        <f>G135*(1-0.0185161290322581)</f>
        <v>152.13</v>
      </c>
      <c r="AM135" s="34">
        <f aca="true" t="shared" si="118" ref="AM135:AM144">F135*AE135</f>
        <v>172.20000000000036</v>
      </c>
      <c r="AN135" s="34">
        <f aca="true" t="shared" si="119" ref="AN135:AN144">F135*AF135</f>
        <v>9127.8</v>
      </c>
      <c r="AO135" s="35" t="s">
        <v>304</v>
      </c>
      <c r="AP135" s="35" t="s">
        <v>311</v>
      </c>
      <c r="AQ135" s="26" t="s">
        <v>313</v>
      </c>
    </row>
    <row r="136" spans="1:43" ht="12.75">
      <c r="A136" s="4" t="s">
        <v>119</v>
      </c>
      <c r="B136" s="4"/>
      <c r="C136" s="4" t="s">
        <v>172</v>
      </c>
      <c r="D136" s="4" t="s">
        <v>205</v>
      </c>
      <c r="E136" s="4" t="s">
        <v>256</v>
      </c>
      <c r="F136" s="17">
        <v>100</v>
      </c>
      <c r="G136" s="17">
        <v>28.8</v>
      </c>
      <c r="H136" s="17">
        <f t="shared" si="110"/>
        <v>0</v>
      </c>
      <c r="I136" s="17">
        <f t="shared" si="111"/>
        <v>2880</v>
      </c>
      <c r="J136" s="17">
        <f t="shared" si="112"/>
        <v>2880</v>
      </c>
      <c r="K136" s="17">
        <v>0.017</v>
      </c>
      <c r="L136" s="17">
        <f t="shared" si="113"/>
        <v>1.7000000000000002</v>
      </c>
      <c r="M136" s="29" t="s">
        <v>279</v>
      </c>
      <c r="N136" s="29" t="s">
        <v>8</v>
      </c>
      <c r="O136" s="17">
        <f t="shared" si="114"/>
        <v>0</v>
      </c>
      <c r="Z136" s="17">
        <f t="shared" si="115"/>
        <v>0</v>
      </c>
      <c r="AA136" s="17">
        <f t="shared" si="116"/>
        <v>0</v>
      </c>
      <c r="AB136" s="17">
        <f t="shared" si="117"/>
        <v>2880</v>
      </c>
      <c r="AD136" s="34">
        <v>21</v>
      </c>
      <c r="AE136" s="34">
        <f>G136*0</f>
        <v>0</v>
      </c>
      <c r="AF136" s="34">
        <f>G136*(1-0)</f>
        <v>28.8</v>
      </c>
      <c r="AM136" s="34">
        <f t="shared" si="118"/>
        <v>0</v>
      </c>
      <c r="AN136" s="34">
        <f t="shared" si="119"/>
        <v>2880</v>
      </c>
      <c r="AO136" s="35" t="s">
        <v>304</v>
      </c>
      <c r="AP136" s="35" t="s">
        <v>311</v>
      </c>
      <c r="AQ136" s="26" t="s">
        <v>313</v>
      </c>
    </row>
    <row r="137" spans="1:43" ht="12.75">
      <c r="A137" s="4" t="s">
        <v>120</v>
      </c>
      <c r="B137" s="4"/>
      <c r="C137" s="4" t="s">
        <v>173</v>
      </c>
      <c r="D137" s="4" t="s">
        <v>206</v>
      </c>
      <c r="E137" s="4" t="s">
        <v>257</v>
      </c>
      <c r="F137" s="17">
        <v>15</v>
      </c>
      <c r="G137" s="17">
        <v>155</v>
      </c>
      <c r="H137" s="17">
        <f t="shared" si="110"/>
        <v>0</v>
      </c>
      <c r="I137" s="17">
        <f t="shared" si="111"/>
        <v>2325</v>
      </c>
      <c r="J137" s="17">
        <f t="shared" si="112"/>
        <v>2325</v>
      </c>
      <c r="K137" s="17">
        <v>1.6</v>
      </c>
      <c r="L137" s="17">
        <f t="shared" si="113"/>
        <v>24</v>
      </c>
      <c r="M137" s="29" t="s">
        <v>280</v>
      </c>
      <c r="N137" s="29" t="s">
        <v>7</v>
      </c>
      <c r="O137" s="17">
        <f t="shared" si="114"/>
        <v>0</v>
      </c>
      <c r="Z137" s="17">
        <f t="shared" si="115"/>
        <v>0</v>
      </c>
      <c r="AA137" s="17">
        <f t="shared" si="116"/>
        <v>0</v>
      </c>
      <c r="AB137" s="17">
        <f t="shared" si="117"/>
        <v>2325</v>
      </c>
      <c r="AD137" s="34">
        <v>21</v>
      </c>
      <c r="AE137" s="34">
        <f>G137*0</f>
        <v>0</v>
      </c>
      <c r="AF137" s="34">
        <f>G137*(1-0)</f>
        <v>155</v>
      </c>
      <c r="AM137" s="34">
        <f t="shared" si="118"/>
        <v>0</v>
      </c>
      <c r="AN137" s="34">
        <f t="shared" si="119"/>
        <v>2325</v>
      </c>
      <c r="AO137" s="35" t="s">
        <v>304</v>
      </c>
      <c r="AP137" s="35" t="s">
        <v>311</v>
      </c>
      <c r="AQ137" s="26" t="s">
        <v>313</v>
      </c>
    </row>
    <row r="138" spans="1:43" ht="12.75">
      <c r="A138" s="4" t="s">
        <v>121</v>
      </c>
      <c r="B138" s="4"/>
      <c r="C138" s="4" t="s">
        <v>186</v>
      </c>
      <c r="D138" s="4" t="s">
        <v>225</v>
      </c>
      <c r="E138" s="4" t="s">
        <v>255</v>
      </c>
      <c r="F138" s="17">
        <v>60</v>
      </c>
      <c r="G138" s="17">
        <v>124.56</v>
      </c>
      <c r="H138" s="17">
        <f t="shared" si="110"/>
        <v>6058.799999999999</v>
      </c>
      <c r="I138" s="17">
        <f t="shared" si="111"/>
        <v>1414.800000000001</v>
      </c>
      <c r="J138" s="17">
        <f t="shared" si="112"/>
        <v>7473.6</v>
      </c>
      <c r="K138" s="17">
        <v>0.18907</v>
      </c>
      <c r="L138" s="17">
        <f t="shared" si="113"/>
        <v>11.344199999999999</v>
      </c>
      <c r="M138" s="29" t="s">
        <v>279</v>
      </c>
      <c r="N138" s="29" t="s">
        <v>7</v>
      </c>
      <c r="O138" s="17">
        <f t="shared" si="114"/>
        <v>0</v>
      </c>
      <c r="Z138" s="17">
        <f t="shared" si="115"/>
        <v>0</v>
      </c>
      <c r="AA138" s="17">
        <f t="shared" si="116"/>
        <v>0</v>
      </c>
      <c r="AB138" s="17">
        <f t="shared" si="117"/>
        <v>7473.6</v>
      </c>
      <c r="AD138" s="34">
        <v>21</v>
      </c>
      <c r="AE138" s="34">
        <f>G138*0.810693641618497</f>
        <v>100.97999999999999</v>
      </c>
      <c r="AF138" s="34">
        <f>G138*(1-0.810693641618497)</f>
        <v>23.580000000000016</v>
      </c>
      <c r="AM138" s="34">
        <f t="shared" si="118"/>
        <v>6058.799999999999</v>
      </c>
      <c r="AN138" s="34">
        <f t="shared" si="119"/>
        <v>1414.8000000000009</v>
      </c>
      <c r="AO138" s="35" t="s">
        <v>304</v>
      </c>
      <c r="AP138" s="35" t="s">
        <v>311</v>
      </c>
      <c r="AQ138" s="26" t="s">
        <v>313</v>
      </c>
    </row>
    <row r="139" spans="1:43" ht="12.75">
      <c r="A139" s="4" t="s">
        <v>122</v>
      </c>
      <c r="B139" s="4"/>
      <c r="C139" s="4" t="s">
        <v>175</v>
      </c>
      <c r="D139" s="4" t="s">
        <v>208</v>
      </c>
      <c r="E139" s="4" t="s">
        <v>256</v>
      </c>
      <c r="F139" s="17">
        <v>100</v>
      </c>
      <c r="G139" s="17">
        <v>178.5</v>
      </c>
      <c r="H139" s="17">
        <f t="shared" si="110"/>
        <v>11383.99999999999</v>
      </c>
      <c r="I139" s="17">
        <f t="shared" si="111"/>
        <v>6466.000000000009</v>
      </c>
      <c r="J139" s="17">
        <f t="shared" si="112"/>
        <v>17850</v>
      </c>
      <c r="K139" s="17">
        <v>0.14424</v>
      </c>
      <c r="L139" s="17">
        <f t="shared" si="113"/>
        <v>14.424000000000001</v>
      </c>
      <c r="M139" s="29" t="s">
        <v>279</v>
      </c>
      <c r="N139" s="29" t="s">
        <v>7</v>
      </c>
      <c r="O139" s="17">
        <f t="shared" si="114"/>
        <v>0</v>
      </c>
      <c r="Z139" s="17">
        <f t="shared" si="115"/>
        <v>0</v>
      </c>
      <c r="AA139" s="17">
        <f t="shared" si="116"/>
        <v>0</v>
      </c>
      <c r="AB139" s="17">
        <f t="shared" si="117"/>
        <v>17850</v>
      </c>
      <c r="AD139" s="34">
        <v>21</v>
      </c>
      <c r="AE139" s="34">
        <f>G139*0.637759103641456</f>
        <v>113.8399999999999</v>
      </c>
      <c r="AF139" s="34">
        <f>G139*(1-0.637759103641456)</f>
        <v>64.6600000000001</v>
      </c>
      <c r="AM139" s="34">
        <f t="shared" si="118"/>
        <v>11383.99999999999</v>
      </c>
      <c r="AN139" s="34">
        <f t="shared" si="119"/>
        <v>6466.00000000001</v>
      </c>
      <c r="AO139" s="35" t="s">
        <v>304</v>
      </c>
      <c r="AP139" s="35" t="s">
        <v>311</v>
      </c>
      <c r="AQ139" s="26" t="s">
        <v>313</v>
      </c>
    </row>
    <row r="140" spans="1:43" ht="12.75">
      <c r="A140" s="5" t="s">
        <v>123</v>
      </c>
      <c r="B140" s="5"/>
      <c r="C140" s="5" t="s">
        <v>176</v>
      </c>
      <c r="D140" s="5" t="s">
        <v>209</v>
      </c>
      <c r="E140" s="5" t="s">
        <v>258</v>
      </c>
      <c r="F140" s="18">
        <v>350</v>
      </c>
      <c r="G140" s="18">
        <v>14.6</v>
      </c>
      <c r="H140" s="18">
        <f t="shared" si="110"/>
        <v>5110</v>
      </c>
      <c r="I140" s="18">
        <f t="shared" si="111"/>
        <v>0</v>
      </c>
      <c r="J140" s="18">
        <f t="shared" si="112"/>
        <v>5110</v>
      </c>
      <c r="K140" s="18">
        <v>0.0052</v>
      </c>
      <c r="L140" s="18">
        <f t="shared" si="113"/>
        <v>1.8199999999999998</v>
      </c>
      <c r="M140" s="30" t="s">
        <v>279</v>
      </c>
      <c r="N140" s="30" t="s">
        <v>282</v>
      </c>
      <c r="O140" s="18">
        <f t="shared" si="114"/>
        <v>0</v>
      </c>
      <c r="Z140" s="18">
        <f t="shared" si="115"/>
        <v>0</v>
      </c>
      <c r="AA140" s="18">
        <f t="shared" si="116"/>
        <v>0</v>
      </c>
      <c r="AB140" s="18">
        <f t="shared" si="117"/>
        <v>5110</v>
      </c>
      <c r="AD140" s="34">
        <v>21</v>
      </c>
      <c r="AE140" s="34">
        <f>G140*1</f>
        <v>14.6</v>
      </c>
      <c r="AF140" s="34">
        <f>G140*(1-1)</f>
        <v>0</v>
      </c>
      <c r="AM140" s="34">
        <f t="shared" si="118"/>
        <v>5110</v>
      </c>
      <c r="AN140" s="34">
        <f t="shared" si="119"/>
        <v>0</v>
      </c>
      <c r="AO140" s="35" t="s">
        <v>304</v>
      </c>
      <c r="AP140" s="35" t="s">
        <v>311</v>
      </c>
      <c r="AQ140" s="26" t="s">
        <v>313</v>
      </c>
    </row>
    <row r="141" spans="1:43" ht="12.75">
      <c r="A141" s="4" t="s">
        <v>124</v>
      </c>
      <c r="B141" s="4"/>
      <c r="C141" s="4" t="s">
        <v>194</v>
      </c>
      <c r="D141" s="4" t="s">
        <v>231</v>
      </c>
      <c r="E141" s="4" t="s">
        <v>255</v>
      </c>
      <c r="F141" s="17">
        <v>30</v>
      </c>
      <c r="G141" s="17">
        <v>20</v>
      </c>
      <c r="H141" s="17">
        <f t="shared" si="110"/>
        <v>0</v>
      </c>
      <c r="I141" s="17">
        <f t="shared" si="111"/>
        <v>600</v>
      </c>
      <c r="J141" s="17">
        <f t="shared" si="112"/>
        <v>600</v>
      </c>
      <c r="K141" s="17">
        <v>0.1</v>
      </c>
      <c r="L141" s="17">
        <f t="shared" si="113"/>
        <v>3</v>
      </c>
      <c r="M141" s="29" t="s">
        <v>279</v>
      </c>
      <c r="N141" s="29" t="s">
        <v>7</v>
      </c>
      <c r="O141" s="17">
        <f t="shared" si="114"/>
        <v>0</v>
      </c>
      <c r="Z141" s="17">
        <f t="shared" si="115"/>
        <v>0</v>
      </c>
      <c r="AA141" s="17">
        <f t="shared" si="116"/>
        <v>0</v>
      </c>
      <c r="AB141" s="17">
        <f t="shared" si="117"/>
        <v>600</v>
      </c>
      <c r="AD141" s="34">
        <v>21</v>
      </c>
      <c r="AE141" s="34">
        <f>G141*0</f>
        <v>0</v>
      </c>
      <c r="AF141" s="34">
        <f>G141*(1-0)</f>
        <v>20</v>
      </c>
      <c r="AM141" s="34">
        <f t="shared" si="118"/>
        <v>0</v>
      </c>
      <c r="AN141" s="34">
        <f t="shared" si="119"/>
        <v>600</v>
      </c>
      <c r="AO141" s="35" t="s">
        <v>304</v>
      </c>
      <c r="AP141" s="35" t="s">
        <v>311</v>
      </c>
      <c r="AQ141" s="26" t="s">
        <v>313</v>
      </c>
    </row>
    <row r="142" spans="1:43" ht="12.75">
      <c r="A142" s="4" t="s">
        <v>125</v>
      </c>
      <c r="B142" s="4"/>
      <c r="C142" s="4" t="s">
        <v>195</v>
      </c>
      <c r="D142" s="4" t="s">
        <v>235</v>
      </c>
      <c r="E142" s="4" t="s">
        <v>255</v>
      </c>
      <c r="F142" s="17">
        <v>60</v>
      </c>
      <c r="G142" s="17">
        <v>220</v>
      </c>
      <c r="H142" s="17">
        <f t="shared" si="110"/>
        <v>6026.400000000006</v>
      </c>
      <c r="I142" s="17">
        <f t="shared" si="111"/>
        <v>7173.599999999994</v>
      </c>
      <c r="J142" s="17">
        <f t="shared" si="112"/>
        <v>13200</v>
      </c>
      <c r="K142" s="17">
        <v>0.2334</v>
      </c>
      <c r="L142" s="17">
        <f t="shared" si="113"/>
        <v>14.004</v>
      </c>
      <c r="M142" s="29" t="s">
        <v>281</v>
      </c>
      <c r="N142" s="29" t="s">
        <v>7</v>
      </c>
      <c r="O142" s="17">
        <f t="shared" si="114"/>
        <v>0</v>
      </c>
      <c r="Z142" s="17">
        <f t="shared" si="115"/>
        <v>0</v>
      </c>
      <c r="AA142" s="17">
        <f t="shared" si="116"/>
        <v>0</v>
      </c>
      <c r="AB142" s="17">
        <f t="shared" si="117"/>
        <v>13200</v>
      </c>
      <c r="AD142" s="34">
        <v>21</v>
      </c>
      <c r="AE142" s="34">
        <f>G142*0.456545454545455</f>
        <v>100.4400000000001</v>
      </c>
      <c r="AF142" s="34">
        <f>G142*(1-0.456545454545455)</f>
        <v>119.55999999999989</v>
      </c>
      <c r="AM142" s="34">
        <f t="shared" si="118"/>
        <v>6026.400000000006</v>
      </c>
      <c r="AN142" s="34">
        <f t="shared" si="119"/>
        <v>7173.599999999993</v>
      </c>
      <c r="AO142" s="35" t="s">
        <v>304</v>
      </c>
      <c r="AP142" s="35" t="s">
        <v>311</v>
      </c>
      <c r="AQ142" s="26" t="s">
        <v>313</v>
      </c>
    </row>
    <row r="143" spans="1:43" ht="12.75">
      <c r="A143" s="4" t="s">
        <v>126</v>
      </c>
      <c r="B143" s="4"/>
      <c r="C143" s="4" t="s">
        <v>181</v>
      </c>
      <c r="D143" s="4" t="s">
        <v>214</v>
      </c>
      <c r="E143" s="4" t="s">
        <v>259</v>
      </c>
      <c r="F143" s="17">
        <v>26.9</v>
      </c>
      <c r="G143" s="17">
        <v>530</v>
      </c>
      <c r="H143" s="17">
        <f t="shared" si="110"/>
        <v>0</v>
      </c>
      <c r="I143" s="17">
        <f t="shared" si="111"/>
        <v>14257</v>
      </c>
      <c r="J143" s="17">
        <f t="shared" si="112"/>
        <v>14257</v>
      </c>
      <c r="K143" s="17">
        <v>0</v>
      </c>
      <c r="L143" s="17">
        <f t="shared" si="113"/>
        <v>0</v>
      </c>
      <c r="M143" s="29" t="s">
        <v>280</v>
      </c>
      <c r="N143" s="29" t="s">
        <v>11</v>
      </c>
      <c r="O143" s="17">
        <f t="shared" si="114"/>
        <v>14257</v>
      </c>
      <c r="Z143" s="17">
        <f t="shared" si="115"/>
        <v>0</v>
      </c>
      <c r="AA143" s="17">
        <f t="shared" si="116"/>
        <v>0</v>
      </c>
      <c r="AB143" s="17">
        <f t="shared" si="117"/>
        <v>14257</v>
      </c>
      <c r="AD143" s="34">
        <v>21</v>
      </c>
      <c r="AE143" s="34">
        <f>G143*0</f>
        <v>0</v>
      </c>
      <c r="AF143" s="34">
        <f>G143*(1-0)</f>
        <v>530</v>
      </c>
      <c r="AM143" s="34">
        <f t="shared" si="118"/>
        <v>0</v>
      </c>
      <c r="AN143" s="34">
        <f t="shared" si="119"/>
        <v>14257</v>
      </c>
      <c r="AO143" s="35" t="s">
        <v>304</v>
      </c>
      <c r="AP143" s="35" t="s">
        <v>311</v>
      </c>
      <c r="AQ143" s="26" t="s">
        <v>313</v>
      </c>
    </row>
    <row r="144" spans="1:43" ht="12.75">
      <c r="A144" s="4" t="s">
        <v>127</v>
      </c>
      <c r="B144" s="4"/>
      <c r="C144" s="4" t="s">
        <v>182</v>
      </c>
      <c r="D144" s="4" t="s">
        <v>215</v>
      </c>
      <c r="E144" s="4" t="s">
        <v>259</v>
      </c>
      <c r="F144" s="17">
        <v>68.59</v>
      </c>
      <c r="G144" s="17">
        <v>50.6</v>
      </c>
      <c r="H144" s="17">
        <f t="shared" si="110"/>
        <v>0</v>
      </c>
      <c r="I144" s="17">
        <f t="shared" si="111"/>
        <v>3470.6540000000005</v>
      </c>
      <c r="J144" s="17">
        <f t="shared" si="112"/>
        <v>3470.6540000000005</v>
      </c>
      <c r="K144" s="17">
        <v>0</v>
      </c>
      <c r="L144" s="17">
        <f t="shared" si="113"/>
        <v>0</v>
      </c>
      <c r="M144" s="29" t="s">
        <v>281</v>
      </c>
      <c r="N144" s="29" t="s">
        <v>11</v>
      </c>
      <c r="O144" s="17">
        <f t="shared" si="114"/>
        <v>3470.6540000000005</v>
      </c>
      <c r="Z144" s="17">
        <f t="shared" si="115"/>
        <v>0</v>
      </c>
      <c r="AA144" s="17">
        <f t="shared" si="116"/>
        <v>0</v>
      </c>
      <c r="AB144" s="17">
        <f t="shared" si="117"/>
        <v>3470.6540000000005</v>
      </c>
      <c r="AD144" s="34">
        <v>21</v>
      </c>
      <c r="AE144" s="34">
        <f>G144*0</f>
        <v>0</v>
      </c>
      <c r="AF144" s="34">
        <f>G144*(1-0)</f>
        <v>50.6</v>
      </c>
      <c r="AM144" s="34">
        <f t="shared" si="118"/>
        <v>0</v>
      </c>
      <c r="AN144" s="34">
        <f t="shared" si="119"/>
        <v>3470.6540000000005</v>
      </c>
      <c r="AO144" s="35" t="s">
        <v>304</v>
      </c>
      <c r="AP144" s="35" t="s">
        <v>311</v>
      </c>
      <c r="AQ144" s="26" t="s">
        <v>313</v>
      </c>
    </row>
    <row r="145" spans="1:37" ht="12.75">
      <c r="A145" s="6"/>
      <c r="B145" s="13"/>
      <c r="C145" s="13" t="s">
        <v>22</v>
      </c>
      <c r="D145" s="72" t="s">
        <v>243</v>
      </c>
      <c r="E145" s="73"/>
      <c r="F145" s="73"/>
      <c r="G145" s="73"/>
      <c r="H145" s="37">
        <f>SUM(H146:H155)</f>
        <v>25298.289999999994</v>
      </c>
      <c r="I145" s="37">
        <f>SUM(I146:I155)</f>
        <v>42110.146</v>
      </c>
      <c r="J145" s="37">
        <f>H145+I145</f>
        <v>67408.43599999999</v>
      </c>
      <c r="K145" s="26"/>
      <c r="L145" s="37">
        <f>SUM(L146:L155)</f>
        <v>84.26603</v>
      </c>
      <c r="M145" s="26"/>
      <c r="P145" s="37">
        <f>IF(Q145="PR",J145,SUM(O146:O155))</f>
        <v>15654.606000000002</v>
      </c>
      <c r="Q145" s="26" t="s">
        <v>285</v>
      </c>
      <c r="R145" s="37">
        <f>IF(Q145="HS",H145,0)</f>
        <v>25298.289999999994</v>
      </c>
      <c r="S145" s="37">
        <f>IF(Q145="HS",I145-P145,0)</f>
        <v>26455.54</v>
      </c>
      <c r="T145" s="37">
        <f>IF(Q145="PS",H145,0)</f>
        <v>0</v>
      </c>
      <c r="U145" s="37">
        <f>IF(Q145="PS",I145-P145,0)</f>
        <v>0</v>
      </c>
      <c r="V145" s="37">
        <f>IF(Q145="MP",H145,0)</f>
        <v>0</v>
      </c>
      <c r="W145" s="37">
        <f>IF(Q145="MP",I145-P145,0)</f>
        <v>0</v>
      </c>
      <c r="X145" s="37">
        <f>IF(Q145="OM",H145,0)</f>
        <v>0</v>
      </c>
      <c r="Y145" s="26"/>
      <c r="AI145" s="37">
        <f>SUM(Z146:Z155)</f>
        <v>0</v>
      </c>
      <c r="AJ145" s="37">
        <f>SUM(AA146:AA155)</f>
        <v>0</v>
      </c>
      <c r="AK145" s="37">
        <f>SUM(AB146:AB155)</f>
        <v>67408.436</v>
      </c>
    </row>
    <row r="146" spans="1:43" ht="12.75">
      <c r="A146" s="4" t="s">
        <v>128</v>
      </c>
      <c r="B146" s="4"/>
      <c r="C146" s="4" t="s">
        <v>171</v>
      </c>
      <c r="D146" s="4" t="s">
        <v>204</v>
      </c>
      <c r="E146" s="4" t="s">
        <v>255</v>
      </c>
      <c r="F146" s="17">
        <v>53</v>
      </c>
      <c r="G146" s="17">
        <v>155</v>
      </c>
      <c r="H146" s="17">
        <f aca="true" t="shared" si="120" ref="H146:H155">F146*AE146</f>
        <v>152.1100000000003</v>
      </c>
      <c r="I146" s="17">
        <f aca="true" t="shared" si="121" ref="I146:I155">J146-H146</f>
        <v>8062.889999999999</v>
      </c>
      <c r="J146" s="17">
        <f aca="true" t="shared" si="122" ref="J146:J155">F146*G146</f>
        <v>8215</v>
      </c>
      <c r="K146" s="17">
        <v>0.42</v>
      </c>
      <c r="L146" s="17">
        <f aca="true" t="shared" si="123" ref="L146:L155">F146*K146</f>
        <v>22.259999999999998</v>
      </c>
      <c r="M146" s="29" t="s">
        <v>279</v>
      </c>
      <c r="N146" s="29" t="s">
        <v>9</v>
      </c>
      <c r="O146" s="17">
        <f aca="true" t="shared" si="124" ref="O146:O155">IF(N146="5",I146,0)</f>
        <v>0</v>
      </c>
      <c r="Z146" s="17">
        <f aca="true" t="shared" si="125" ref="Z146:Z155">IF(AD146=0,J146,0)</f>
        <v>0</v>
      </c>
      <c r="AA146" s="17">
        <f aca="true" t="shared" si="126" ref="AA146:AA155">IF(AD146=15,J146,0)</f>
        <v>0</v>
      </c>
      <c r="AB146" s="17">
        <f aca="true" t="shared" si="127" ref="AB146:AB155">IF(AD146=21,J146,0)</f>
        <v>8215</v>
      </c>
      <c r="AD146" s="34">
        <v>21</v>
      </c>
      <c r="AE146" s="34">
        <f>G146*0.0185161290322581</f>
        <v>2.870000000000006</v>
      </c>
      <c r="AF146" s="34">
        <f>G146*(1-0.0185161290322581)</f>
        <v>152.13</v>
      </c>
      <c r="AM146" s="34">
        <f aca="true" t="shared" si="128" ref="AM146:AM155">F146*AE146</f>
        <v>152.1100000000003</v>
      </c>
      <c r="AN146" s="34">
        <f aca="true" t="shared" si="129" ref="AN146:AN155">F146*AF146</f>
        <v>8062.889999999999</v>
      </c>
      <c r="AO146" s="35" t="s">
        <v>305</v>
      </c>
      <c r="AP146" s="35" t="s">
        <v>311</v>
      </c>
      <c r="AQ146" s="26" t="s">
        <v>313</v>
      </c>
    </row>
    <row r="147" spans="1:43" ht="12.75">
      <c r="A147" s="4" t="s">
        <v>129</v>
      </c>
      <c r="B147" s="4"/>
      <c r="C147" s="4" t="s">
        <v>172</v>
      </c>
      <c r="D147" s="4" t="s">
        <v>205</v>
      </c>
      <c r="E147" s="4" t="s">
        <v>256</v>
      </c>
      <c r="F147" s="17">
        <v>88</v>
      </c>
      <c r="G147" s="17">
        <v>28.8</v>
      </c>
      <c r="H147" s="17">
        <f t="shared" si="120"/>
        <v>0</v>
      </c>
      <c r="I147" s="17">
        <f t="shared" si="121"/>
        <v>2534.4</v>
      </c>
      <c r="J147" s="17">
        <f t="shared" si="122"/>
        <v>2534.4</v>
      </c>
      <c r="K147" s="17">
        <v>0.017</v>
      </c>
      <c r="L147" s="17">
        <f t="shared" si="123"/>
        <v>1.496</v>
      </c>
      <c r="M147" s="29" t="s">
        <v>279</v>
      </c>
      <c r="N147" s="29" t="s">
        <v>8</v>
      </c>
      <c r="O147" s="17">
        <f t="shared" si="124"/>
        <v>0</v>
      </c>
      <c r="Z147" s="17">
        <f t="shared" si="125"/>
        <v>0</v>
      </c>
      <c r="AA147" s="17">
        <f t="shared" si="126"/>
        <v>0</v>
      </c>
      <c r="AB147" s="17">
        <f t="shared" si="127"/>
        <v>2534.4</v>
      </c>
      <c r="AD147" s="34">
        <v>21</v>
      </c>
      <c r="AE147" s="34">
        <f>G147*0</f>
        <v>0</v>
      </c>
      <c r="AF147" s="34">
        <f>G147*(1-0)</f>
        <v>28.8</v>
      </c>
      <c r="AM147" s="34">
        <f t="shared" si="128"/>
        <v>0</v>
      </c>
      <c r="AN147" s="34">
        <f t="shared" si="129"/>
        <v>2534.4</v>
      </c>
      <c r="AO147" s="35" t="s">
        <v>305</v>
      </c>
      <c r="AP147" s="35" t="s">
        <v>311</v>
      </c>
      <c r="AQ147" s="26" t="s">
        <v>313</v>
      </c>
    </row>
    <row r="148" spans="1:43" ht="12.75">
      <c r="A148" s="4" t="s">
        <v>130</v>
      </c>
      <c r="B148" s="4"/>
      <c r="C148" s="4" t="s">
        <v>173</v>
      </c>
      <c r="D148" s="4" t="s">
        <v>206</v>
      </c>
      <c r="E148" s="4" t="s">
        <v>257</v>
      </c>
      <c r="F148" s="17">
        <v>13.25</v>
      </c>
      <c r="G148" s="17">
        <v>155</v>
      </c>
      <c r="H148" s="17">
        <f t="shared" si="120"/>
        <v>0</v>
      </c>
      <c r="I148" s="17">
        <f t="shared" si="121"/>
        <v>2053.75</v>
      </c>
      <c r="J148" s="17">
        <f t="shared" si="122"/>
        <v>2053.75</v>
      </c>
      <c r="K148" s="17">
        <v>1.6</v>
      </c>
      <c r="L148" s="17">
        <f t="shared" si="123"/>
        <v>21.200000000000003</v>
      </c>
      <c r="M148" s="29" t="s">
        <v>280</v>
      </c>
      <c r="N148" s="29" t="s">
        <v>7</v>
      </c>
      <c r="O148" s="17">
        <f t="shared" si="124"/>
        <v>0</v>
      </c>
      <c r="Z148" s="17">
        <f t="shared" si="125"/>
        <v>0</v>
      </c>
      <c r="AA148" s="17">
        <f t="shared" si="126"/>
        <v>0</v>
      </c>
      <c r="AB148" s="17">
        <f t="shared" si="127"/>
        <v>2053.75</v>
      </c>
      <c r="AD148" s="34">
        <v>21</v>
      </c>
      <c r="AE148" s="34">
        <f>G148*0</f>
        <v>0</v>
      </c>
      <c r="AF148" s="34">
        <f>G148*(1-0)</f>
        <v>155</v>
      </c>
      <c r="AM148" s="34">
        <f t="shared" si="128"/>
        <v>0</v>
      </c>
      <c r="AN148" s="34">
        <f t="shared" si="129"/>
        <v>2053.75</v>
      </c>
      <c r="AO148" s="35" t="s">
        <v>305</v>
      </c>
      <c r="AP148" s="35" t="s">
        <v>311</v>
      </c>
      <c r="AQ148" s="26" t="s">
        <v>313</v>
      </c>
    </row>
    <row r="149" spans="1:43" ht="12.75">
      <c r="A149" s="4" t="s">
        <v>131</v>
      </c>
      <c r="B149" s="4"/>
      <c r="C149" s="4" t="s">
        <v>186</v>
      </c>
      <c r="D149" s="4" t="s">
        <v>225</v>
      </c>
      <c r="E149" s="4" t="s">
        <v>255</v>
      </c>
      <c r="F149" s="17">
        <v>53</v>
      </c>
      <c r="G149" s="17">
        <v>124.56</v>
      </c>
      <c r="H149" s="17">
        <f t="shared" si="120"/>
        <v>5351.94</v>
      </c>
      <c r="I149" s="17">
        <f t="shared" si="121"/>
        <v>1249.7400000000007</v>
      </c>
      <c r="J149" s="17">
        <f t="shared" si="122"/>
        <v>6601.68</v>
      </c>
      <c r="K149" s="17">
        <v>0.18907</v>
      </c>
      <c r="L149" s="17">
        <f t="shared" si="123"/>
        <v>10.02071</v>
      </c>
      <c r="M149" s="29" t="s">
        <v>279</v>
      </c>
      <c r="N149" s="29" t="s">
        <v>7</v>
      </c>
      <c r="O149" s="17">
        <f t="shared" si="124"/>
        <v>0</v>
      </c>
      <c r="Z149" s="17">
        <f t="shared" si="125"/>
        <v>0</v>
      </c>
      <c r="AA149" s="17">
        <f t="shared" si="126"/>
        <v>0</v>
      </c>
      <c r="AB149" s="17">
        <f t="shared" si="127"/>
        <v>6601.68</v>
      </c>
      <c r="AD149" s="34">
        <v>21</v>
      </c>
      <c r="AE149" s="34">
        <f>G149*0.810693641618497</f>
        <v>100.97999999999999</v>
      </c>
      <c r="AF149" s="34">
        <f>G149*(1-0.810693641618497)</f>
        <v>23.580000000000016</v>
      </c>
      <c r="AM149" s="34">
        <f t="shared" si="128"/>
        <v>5351.94</v>
      </c>
      <c r="AN149" s="34">
        <f t="shared" si="129"/>
        <v>1249.740000000001</v>
      </c>
      <c r="AO149" s="35" t="s">
        <v>305</v>
      </c>
      <c r="AP149" s="35" t="s">
        <v>311</v>
      </c>
      <c r="AQ149" s="26" t="s">
        <v>313</v>
      </c>
    </row>
    <row r="150" spans="1:43" ht="12.75">
      <c r="A150" s="4" t="s">
        <v>132</v>
      </c>
      <c r="B150" s="4"/>
      <c r="C150" s="4" t="s">
        <v>175</v>
      </c>
      <c r="D150" s="4" t="s">
        <v>208</v>
      </c>
      <c r="E150" s="4" t="s">
        <v>256</v>
      </c>
      <c r="F150" s="17">
        <v>88</v>
      </c>
      <c r="G150" s="17">
        <v>178.5</v>
      </c>
      <c r="H150" s="17">
        <f t="shared" si="120"/>
        <v>10017.919999999991</v>
      </c>
      <c r="I150" s="17">
        <f t="shared" si="121"/>
        <v>5690.080000000009</v>
      </c>
      <c r="J150" s="17">
        <f t="shared" si="122"/>
        <v>15708</v>
      </c>
      <c r="K150" s="17">
        <v>0.14424</v>
      </c>
      <c r="L150" s="17">
        <f t="shared" si="123"/>
        <v>12.69312</v>
      </c>
      <c r="M150" s="29" t="s">
        <v>279</v>
      </c>
      <c r="N150" s="29" t="s">
        <v>7</v>
      </c>
      <c r="O150" s="17">
        <f t="shared" si="124"/>
        <v>0</v>
      </c>
      <c r="Z150" s="17">
        <f t="shared" si="125"/>
        <v>0</v>
      </c>
      <c r="AA150" s="17">
        <f t="shared" si="126"/>
        <v>0</v>
      </c>
      <c r="AB150" s="17">
        <f t="shared" si="127"/>
        <v>15708</v>
      </c>
      <c r="AD150" s="34">
        <v>21</v>
      </c>
      <c r="AE150" s="34">
        <f>G150*0.637759103641456</f>
        <v>113.8399999999999</v>
      </c>
      <c r="AF150" s="34">
        <f>G150*(1-0.637759103641456)</f>
        <v>64.6600000000001</v>
      </c>
      <c r="AM150" s="34">
        <f t="shared" si="128"/>
        <v>10017.919999999991</v>
      </c>
      <c r="AN150" s="34">
        <f t="shared" si="129"/>
        <v>5690.080000000008</v>
      </c>
      <c r="AO150" s="35" t="s">
        <v>305</v>
      </c>
      <c r="AP150" s="35" t="s">
        <v>311</v>
      </c>
      <c r="AQ150" s="26" t="s">
        <v>313</v>
      </c>
    </row>
    <row r="151" spans="1:43" ht="12.75">
      <c r="A151" s="5" t="s">
        <v>133</v>
      </c>
      <c r="B151" s="5"/>
      <c r="C151" s="5" t="s">
        <v>176</v>
      </c>
      <c r="D151" s="5" t="s">
        <v>209</v>
      </c>
      <c r="E151" s="5" t="s">
        <v>258</v>
      </c>
      <c r="F151" s="18">
        <v>305</v>
      </c>
      <c r="G151" s="18">
        <v>14.6</v>
      </c>
      <c r="H151" s="18">
        <f t="shared" si="120"/>
        <v>4453</v>
      </c>
      <c r="I151" s="18">
        <f t="shared" si="121"/>
        <v>0</v>
      </c>
      <c r="J151" s="18">
        <f t="shared" si="122"/>
        <v>4453</v>
      </c>
      <c r="K151" s="18">
        <v>0.0052</v>
      </c>
      <c r="L151" s="18">
        <f t="shared" si="123"/>
        <v>1.5859999999999999</v>
      </c>
      <c r="M151" s="30" t="s">
        <v>279</v>
      </c>
      <c r="N151" s="30" t="s">
        <v>282</v>
      </c>
      <c r="O151" s="18">
        <f t="shared" si="124"/>
        <v>0</v>
      </c>
      <c r="Z151" s="18">
        <f t="shared" si="125"/>
        <v>0</v>
      </c>
      <c r="AA151" s="18">
        <f t="shared" si="126"/>
        <v>0</v>
      </c>
      <c r="AB151" s="18">
        <f t="shared" si="127"/>
        <v>4453</v>
      </c>
      <c r="AD151" s="34">
        <v>21</v>
      </c>
      <c r="AE151" s="34">
        <f>G151*1</f>
        <v>14.6</v>
      </c>
      <c r="AF151" s="34">
        <f>G151*(1-1)</f>
        <v>0</v>
      </c>
      <c r="AM151" s="34">
        <f t="shared" si="128"/>
        <v>4453</v>
      </c>
      <c r="AN151" s="34">
        <f t="shared" si="129"/>
        <v>0</v>
      </c>
      <c r="AO151" s="35" t="s">
        <v>305</v>
      </c>
      <c r="AP151" s="35" t="s">
        <v>311</v>
      </c>
      <c r="AQ151" s="26" t="s">
        <v>313</v>
      </c>
    </row>
    <row r="152" spans="1:43" ht="12.75">
      <c r="A152" s="4" t="s">
        <v>134</v>
      </c>
      <c r="B152" s="4"/>
      <c r="C152" s="4" t="s">
        <v>194</v>
      </c>
      <c r="D152" s="4" t="s">
        <v>231</v>
      </c>
      <c r="E152" s="4" t="s">
        <v>255</v>
      </c>
      <c r="F152" s="17">
        <v>26.4</v>
      </c>
      <c r="G152" s="17">
        <v>20</v>
      </c>
      <c r="H152" s="17">
        <f t="shared" si="120"/>
        <v>0</v>
      </c>
      <c r="I152" s="17">
        <f t="shared" si="121"/>
        <v>528</v>
      </c>
      <c r="J152" s="17">
        <f t="shared" si="122"/>
        <v>528</v>
      </c>
      <c r="K152" s="17">
        <v>0.1</v>
      </c>
      <c r="L152" s="17">
        <f t="shared" si="123"/>
        <v>2.64</v>
      </c>
      <c r="M152" s="29" t="s">
        <v>279</v>
      </c>
      <c r="N152" s="29" t="s">
        <v>7</v>
      </c>
      <c r="O152" s="17">
        <f t="shared" si="124"/>
        <v>0</v>
      </c>
      <c r="Z152" s="17">
        <f t="shared" si="125"/>
        <v>0</v>
      </c>
      <c r="AA152" s="17">
        <f t="shared" si="126"/>
        <v>0</v>
      </c>
      <c r="AB152" s="17">
        <f t="shared" si="127"/>
        <v>528</v>
      </c>
      <c r="AD152" s="34">
        <v>21</v>
      </c>
      <c r="AE152" s="34">
        <f>G152*0</f>
        <v>0</v>
      </c>
      <c r="AF152" s="34">
        <f>G152*(1-0)</f>
        <v>20</v>
      </c>
      <c r="AM152" s="34">
        <f t="shared" si="128"/>
        <v>0</v>
      </c>
      <c r="AN152" s="34">
        <f t="shared" si="129"/>
        <v>528</v>
      </c>
      <c r="AO152" s="35" t="s">
        <v>305</v>
      </c>
      <c r="AP152" s="35" t="s">
        <v>311</v>
      </c>
      <c r="AQ152" s="26" t="s">
        <v>313</v>
      </c>
    </row>
    <row r="153" spans="1:43" ht="12.75">
      <c r="A153" s="4" t="s">
        <v>135</v>
      </c>
      <c r="B153" s="4"/>
      <c r="C153" s="4" t="s">
        <v>195</v>
      </c>
      <c r="D153" s="4" t="s">
        <v>235</v>
      </c>
      <c r="E153" s="4" t="s">
        <v>255</v>
      </c>
      <c r="F153" s="17">
        <v>53</v>
      </c>
      <c r="G153" s="17">
        <v>220</v>
      </c>
      <c r="H153" s="17">
        <f t="shared" si="120"/>
        <v>5323.320000000005</v>
      </c>
      <c r="I153" s="17">
        <f t="shared" si="121"/>
        <v>6336.679999999995</v>
      </c>
      <c r="J153" s="17">
        <f t="shared" si="122"/>
        <v>11660</v>
      </c>
      <c r="K153" s="17">
        <v>0.2334</v>
      </c>
      <c r="L153" s="17">
        <f t="shared" si="123"/>
        <v>12.3702</v>
      </c>
      <c r="M153" s="29" t="s">
        <v>281</v>
      </c>
      <c r="N153" s="29" t="s">
        <v>7</v>
      </c>
      <c r="O153" s="17">
        <f t="shared" si="124"/>
        <v>0</v>
      </c>
      <c r="Z153" s="17">
        <f t="shared" si="125"/>
        <v>0</v>
      </c>
      <c r="AA153" s="17">
        <f t="shared" si="126"/>
        <v>0</v>
      </c>
      <c r="AB153" s="17">
        <f t="shared" si="127"/>
        <v>11660</v>
      </c>
      <c r="AD153" s="34">
        <v>21</v>
      </c>
      <c r="AE153" s="34">
        <f>G153*0.456545454545455</f>
        <v>100.4400000000001</v>
      </c>
      <c r="AF153" s="34">
        <f>G153*(1-0.456545454545455)</f>
        <v>119.55999999999989</v>
      </c>
      <c r="AM153" s="34">
        <f t="shared" si="128"/>
        <v>5323.320000000005</v>
      </c>
      <c r="AN153" s="34">
        <f t="shared" si="129"/>
        <v>6336.679999999994</v>
      </c>
      <c r="AO153" s="35" t="s">
        <v>305</v>
      </c>
      <c r="AP153" s="35" t="s">
        <v>311</v>
      </c>
      <c r="AQ153" s="26" t="s">
        <v>313</v>
      </c>
    </row>
    <row r="154" spans="1:43" ht="12.75">
      <c r="A154" s="4" t="s">
        <v>136</v>
      </c>
      <c r="B154" s="4"/>
      <c r="C154" s="4" t="s">
        <v>181</v>
      </c>
      <c r="D154" s="4" t="s">
        <v>214</v>
      </c>
      <c r="E154" s="4" t="s">
        <v>259</v>
      </c>
      <c r="F154" s="17">
        <v>23.76</v>
      </c>
      <c r="G154" s="17">
        <v>530</v>
      </c>
      <c r="H154" s="17">
        <f t="shared" si="120"/>
        <v>0</v>
      </c>
      <c r="I154" s="17">
        <f t="shared" si="121"/>
        <v>12592.800000000001</v>
      </c>
      <c r="J154" s="17">
        <f t="shared" si="122"/>
        <v>12592.800000000001</v>
      </c>
      <c r="K154" s="17">
        <v>0</v>
      </c>
      <c r="L154" s="17">
        <f t="shared" si="123"/>
        <v>0</v>
      </c>
      <c r="M154" s="29" t="s">
        <v>280</v>
      </c>
      <c r="N154" s="29" t="s">
        <v>11</v>
      </c>
      <c r="O154" s="17">
        <f t="shared" si="124"/>
        <v>12592.800000000001</v>
      </c>
      <c r="Z154" s="17">
        <f t="shared" si="125"/>
        <v>0</v>
      </c>
      <c r="AA154" s="17">
        <f t="shared" si="126"/>
        <v>0</v>
      </c>
      <c r="AB154" s="17">
        <f t="shared" si="127"/>
        <v>12592.800000000001</v>
      </c>
      <c r="AD154" s="34">
        <v>21</v>
      </c>
      <c r="AE154" s="34">
        <f>G154*0</f>
        <v>0</v>
      </c>
      <c r="AF154" s="34">
        <f>G154*(1-0)</f>
        <v>530</v>
      </c>
      <c r="AM154" s="34">
        <f t="shared" si="128"/>
        <v>0</v>
      </c>
      <c r="AN154" s="34">
        <f t="shared" si="129"/>
        <v>12592.800000000001</v>
      </c>
      <c r="AO154" s="35" t="s">
        <v>305</v>
      </c>
      <c r="AP154" s="35" t="s">
        <v>311</v>
      </c>
      <c r="AQ154" s="26" t="s">
        <v>313</v>
      </c>
    </row>
    <row r="155" spans="1:43" ht="12.75">
      <c r="A155" s="4" t="s">
        <v>137</v>
      </c>
      <c r="B155" s="4"/>
      <c r="C155" s="4" t="s">
        <v>182</v>
      </c>
      <c r="D155" s="4" t="s">
        <v>215</v>
      </c>
      <c r="E155" s="4" t="s">
        <v>259</v>
      </c>
      <c r="F155" s="17">
        <v>60.51</v>
      </c>
      <c r="G155" s="17">
        <v>50.6</v>
      </c>
      <c r="H155" s="17">
        <f t="shared" si="120"/>
        <v>0</v>
      </c>
      <c r="I155" s="17">
        <f t="shared" si="121"/>
        <v>3061.806</v>
      </c>
      <c r="J155" s="17">
        <f t="shared" si="122"/>
        <v>3061.806</v>
      </c>
      <c r="K155" s="17">
        <v>0</v>
      </c>
      <c r="L155" s="17">
        <f t="shared" si="123"/>
        <v>0</v>
      </c>
      <c r="M155" s="29" t="s">
        <v>281</v>
      </c>
      <c r="N155" s="29" t="s">
        <v>11</v>
      </c>
      <c r="O155" s="17">
        <f t="shared" si="124"/>
        <v>3061.806</v>
      </c>
      <c r="Z155" s="17">
        <f t="shared" si="125"/>
        <v>0</v>
      </c>
      <c r="AA155" s="17">
        <f t="shared" si="126"/>
        <v>0</v>
      </c>
      <c r="AB155" s="17">
        <f t="shared" si="127"/>
        <v>3061.806</v>
      </c>
      <c r="AD155" s="34">
        <v>21</v>
      </c>
      <c r="AE155" s="34">
        <f>G155*0</f>
        <v>0</v>
      </c>
      <c r="AF155" s="34">
        <f>G155*(1-0)</f>
        <v>50.6</v>
      </c>
      <c r="AM155" s="34">
        <f t="shared" si="128"/>
        <v>0</v>
      </c>
      <c r="AN155" s="34">
        <f t="shared" si="129"/>
        <v>3061.806</v>
      </c>
      <c r="AO155" s="35" t="s">
        <v>305</v>
      </c>
      <c r="AP155" s="35" t="s">
        <v>311</v>
      </c>
      <c r="AQ155" s="26" t="s">
        <v>313</v>
      </c>
    </row>
    <row r="156" spans="1:37" ht="12.75">
      <c r="A156" s="6"/>
      <c r="B156" s="13"/>
      <c r="C156" s="13" t="s">
        <v>23</v>
      </c>
      <c r="D156" s="72" t="s">
        <v>244</v>
      </c>
      <c r="E156" s="73"/>
      <c r="F156" s="73"/>
      <c r="G156" s="73"/>
      <c r="H156" s="37">
        <f>SUM(H157:H166)</f>
        <v>26585.519999999982</v>
      </c>
      <c r="I156" s="37">
        <f>SUM(I157:I166)</f>
        <v>44220.68800000002</v>
      </c>
      <c r="J156" s="37">
        <f>H156+I156</f>
        <v>70806.208</v>
      </c>
      <c r="K156" s="26"/>
      <c r="L156" s="37">
        <f>SUM(L157:L166)</f>
        <v>88.8364</v>
      </c>
      <c r="M156" s="26"/>
      <c r="P156" s="37">
        <f>IF(Q156="PR",J156,SUM(O157:O166))</f>
        <v>16365.248000000001</v>
      </c>
      <c r="Q156" s="26" t="s">
        <v>285</v>
      </c>
      <c r="R156" s="37">
        <f>IF(Q156="HS",H156,0)</f>
        <v>26585.519999999982</v>
      </c>
      <c r="S156" s="37">
        <f>IF(Q156="HS",I156-P156,0)</f>
        <v>27855.440000000017</v>
      </c>
      <c r="T156" s="37">
        <f>IF(Q156="PS",H156,0)</f>
        <v>0</v>
      </c>
      <c r="U156" s="37">
        <f>IF(Q156="PS",I156-P156,0)</f>
        <v>0</v>
      </c>
      <c r="V156" s="37">
        <f>IF(Q156="MP",H156,0)</f>
        <v>0</v>
      </c>
      <c r="W156" s="37">
        <f>IF(Q156="MP",I156-P156,0)</f>
        <v>0</v>
      </c>
      <c r="X156" s="37">
        <f>IF(Q156="OM",H156,0)</f>
        <v>0</v>
      </c>
      <c r="Y156" s="26"/>
      <c r="AI156" s="37">
        <f>SUM(Z157:Z166)</f>
        <v>0</v>
      </c>
      <c r="AJ156" s="37">
        <f>SUM(AA157:AA166)</f>
        <v>0</v>
      </c>
      <c r="AK156" s="37">
        <f>SUM(AB157:AB166)</f>
        <v>70806.208</v>
      </c>
    </row>
    <row r="157" spans="1:43" ht="12.75">
      <c r="A157" s="4" t="s">
        <v>138</v>
      </c>
      <c r="B157" s="4"/>
      <c r="C157" s="4" t="s">
        <v>171</v>
      </c>
      <c r="D157" s="4" t="s">
        <v>204</v>
      </c>
      <c r="E157" s="4" t="s">
        <v>255</v>
      </c>
      <c r="F157" s="17">
        <v>56</v>
      </c>
      <c r="G157" s="17">
        <v>155</v>
      </c>
      <c r="H157" s="17">
        <f aca="true" t="shared" si="130" ref="H157:H166">F157*AE157</f>
        <v>160.72000000000034</v>
      </c>
      <c r="I157" s="17">
        <f aca="true" t="shared" si="131" ref="I157:I166">J157-H157</f>
        <v>8519.279999999999</v>
      </c>
      <c r="J157" s="17">
        <f aca="true" t="shared" si="132" ref="J157:J166">F157*G157</f>
        <v>8680</v>
      </c>
      <c r="K157" s="17">
        <v>0.42</v>
      </c>
      <c r="L157" s="17">
        <f aca="true" t="shared" si="133" ref="L157:L166">F157*K157</f>
        <v>23.52</v>
      </c>
      <c r="M157" s="29" t="s">
        <v>279</v>
      </c>
      <c r="N157" s="29" t="s">
        <v>9</v>
      </c>
      <c r="O157" s="17">
        <f aca="true" t="shared" si="134" ref="O157:O166">IF(N157="5",I157,0)</f>
        <v>0</v>
      </c>
      <c r="Z157" s="17">
        <f aca="true" t="shared" si="135" ref="Z157:Z166">IF(AD157=0,J157,0)</f>
        <v>0</v>
      </c>
      <c r="AA157" s="17">
        <f aca="true" t="shared" si="136" ref="AA157:AA166">IF(AD157=15,J157,0)</f>
        <v>0</v>
      </c>
      <c r="AB157" s="17">
        <f aca="true" t="shared" si="137" ref="AB157:AB166">IF(AD157=21,J157,0)</f>
        <v>8680</v>
      </c>
      <c r="AD157" s="34">
        <v>21</v>
      </c>
      <c r="AE157" s="34">
        <f>G157*0.0185161290322581</f>
        <v>2.870000000000006</v>
      </c>
      <c r="AF157" s="34">
        <f>G157*(1-0.0185161290322581)</f>
        <v>152.13</v>
      </c>
      <c r="AM157" s="34">
        <f aca="true" t="shared" si="138" ref="AM157:AM166">F157*AE157</f>
        <v>160.72000000000034</v>
      </c>
      <c r="AN157" s="34">
        <f aca="true" t="shared" si="139" ref="AN157:AN166">F157*AF157</f>
        <v>8519.279999999999</v>
      </c>
      <c r="AO157" s="35" t="s">
        <v>306</v>
      </c>
      <c r="AP157" s="35" t="s">
        <v>311</v>
      </c>
      <c r="AQ157" s="26" t="s">
        <v>313</v>
      </c>
    </row>
    <row r="158" spans="1:43" ht="12.75">
      <c r="A158" s="4" t="s">
        <v>139</v>
      </c>
      <c r="B158" s="4"/>
      <c r="C158" s="4" t="s">
        <v>172</v>
      </c>
      <c r="D158" s="4" t="s">
        <v>205</v>
      </c>
      <c r="E158" s="4" t="s">
        <v>256</v>
      </c>
      <c r="F158" s="17">
        <v>92</v>
      </c>
      <c r="G158" s="17">
        <v>28.8</v>
      </c>
      <c r="H158" s="17">
        <f t="shared" si="130"/>
        <v>0</v>
      </c>
      <c r="I158" s="17">
        <f t="shared" si="131"/>
        <v>2649.6</v>
      </c>
      <c r="J158" s="17">
        <f t="shared" si="132"/>
        <v>2649.6</v>
      </c>
      <c r="K158" s="17">
        <v>0.017</v>
      </c>
      <c r="L158" s="17">
        <f t="shared" si="133"/>
        <v>1.564</v>
      </c>
      <c r="M158" s="29" t="s">
        <v>279</v>
      </c>
      <c r="N158" s="29" t="s">
        <v>8</v>
      </c>
      <c r="O158" s="17">
        <f t="shared" si="134"/>
        <v>0</v>
      </c>
      <c r="Z158" s="17">
        <f t="shared" si="135"/>
        <v>0</v>
      </c>
      <c r="AA158" s="17">
        <f t="shared" si="136"/>
        <v>0</v>
      </c>
      <c r="AB158" s="17">
        <f t="shared" si="137"/>
        <v>2649.6</v>
      </c>
      <c r="AD158" s="34">
        <v>21</v>
      </c>
      <c r="AE158" s="34">
        <f>G158*0</f>
        <v>0</v>
      </c>
      <c r="AF158" s="34">
        <f>G158*(1-0)</f>
        <v>28.8</v>
      </c>
      <c r="AM158" s="34">
        <f t="shared" si="138"/>
        <v>0</v>
      </c>
      <c r="AN158" s="34">
        <f t="shared" si="139"/>
        <v>2649.6</v>
      </c>
      <c r="AO158" s="35" t="s">
        <v>306</v>
      </c>
      <c r="AP158" s="35" t="s">
        <v>311</v>
      </c>
      <c r="AQ158" s="26" t="s">
        <v>313</v>
      </c>
    </row>
    <row r="159" spans="1:43" ht="12.75">
      <c r="A159" s="4" t="s">
        <v>140</v>
      </c>
      <c r="B159" s="4"/>
      <c r="C159" s="4" t="s">
        <v>173</v>
      </c>
      <c r="D159" s="4" t="s">
        <v>206</v>
      </c>
      <c r="E159" s="4" t="s">
        <v>257</v>
      </c>
      <c r="F159" s="17">
        <v>14</v>
      </c>
      <c r="G159" s="17">
        <v>155</v>
      </c>
      <c r="H159" s="17">
        <f t="shared" si="130"/>
        <v>0</v>
      </c>
      <c r="I159" s="17">
        <f t="shared" si="131"/>
        <v>2170</v>
      </c>
      <c r="J159" s="17">
        <f t="shared" si="132"/>
        <v>2170</v>
      </c>
      <c r="K159" s="17">
        <v>1.6</v>
      </c>
      <c r="L159" s="17">
        <f t="shared" si="133"/>
        <v>22.400000000000002</v>
      </c>
      <c r="M159" s="29" t="s">
        <v>280</v>
      </c>
      <c r="N159" s="29" t="s">
        <v>7</v>
      </c>
      <c r="O159" s="17">
        <f t="shared" si="134"/>
        <v>0</v>
      </c>
      <c r="Z159" s="17">
        <f t="shared" si="135"/>
        <v>0</v>
      </c>
      <c r="AA159" s="17">
        <f t="shared" si="136"/>
        <v>0</v>
      </c>
      <c r="AB159" s="17">
        <f t="shared" si="137"/>
        <v>2170</v>
      </c>
      <c r="AD159" s="34">
        <v>21</v>
      </c>
      <c r="AE159" s="34">
        <f>G159*0</f>
        <v>0</v>
      </c>
      <c r="AF159" s="34">
        <f>G159*(1-0)</f>
        <v>155</v>
      </c>
      <c r="AM159" s="34">
        <f t="shared" si="138"/>
        <v>0</v>
      </c>
      <c r="AN159" s="34">
        <f t="shared" si="139"/>
        <v>2170</v>
      </c>
      <c r="AO159" s="35" t="s">
        <v>306</v>
      </c>
      <c r="AP159" s="35" t="s">
        <v>311</v>
      </c>
      <c r="AQ159" s="26" t="s">
        <v>313</v>
      </c>
    </row>
    <row r="160" spans="1:43" ht="12.75">
      <c r="A160" s="4" t="s">
        <v>141</v>
      </c>
      <c r="B160" s="4"/>
      <c r="C160" s="4" t="s">
        <v>186</v>
      </c>
      <c r="D160" s="4" t="s">
        <v>225</v>
      </c>
      <c r="E160" s="4" t="s">
        <v>255</v>
      </c>
      <c r="F160" s="17">
        <v>56</v>
      </c>
      <c r="G160" s="17">
        <v>124.56</v>
      </c>
      <c r="H160" s="17">
        <f t="shared" si="130"/>
        <v>5654.879999999999</v>
      </c>
      <c r="I160" s="17">
        <f t="shared" si="131"/>
        <v>1320.4800000000014</v>
      </c>
      <c r="J160" s="17">
        <f t="shared" si="132"/>
        <v>6975.360000000001</v>
      </c>
      <c r="K160" s="17">
        <v>0.18907</v>
      </c>
      <c r="L160" s="17">
        <f t="shared" si="133"/>
        <v>10.587919999999999</v>
      </c>
      <c r="M160" s="29" t="s">
        <v>279</v>
      </c>
      <c r="N160" s="29" t="s">
        <v>7</v>
      </c>
      <c r="O160" s="17">
        <f t="shared" si="134"/>
        <v>0</v>
      </c>
      <c r="Z160" s="17">
        <f t="shared" si="135"/>
        <v>0</v>
      </c>
      <c r="AA160" s="17">
        <f t="shared" si="136"/>
        <v>0</v>
      </c>
      <c r="AB160" s="17">
        <f t="shared" si="137"/>
        <v>6975.360000000001</v>
      </c>
      <c r="AD160" s="34">
        <v>21</v>
      </c>
      <c r="AE160" s="34">
        <f>G160*0.810693641618497</f>
        <v>100.97999999999999</v>
      </c>
      <c r="AF160" s="34">
        <f>G160*(1-0.810693641618497)</f>
        <v>23.580000000000016</v>
      </c>
      <c r="AM160" s="34">
        <f t="shared" si="138"/>
        <v>5654.879999999999</v>
      </c>
      <c r="AN160" s="34">
        <f t="shared" si="139"/>
        <v>1320.480000000001</v>
      </c>
      <c r="AO160" s="35" t="s">
        <v>306</v>
      </c>
      <c r="AP160" s="35" t="s">
        <v>311</v>
      </c>
      <c r="AQ160" s="26" t="s">
        <v>313</v>
      </c>
    </row>
    <row r="161" spans="1:43" ht="12.75">
      <c r="A161" s="4" t="s">
        <v>142</v>
      </c>
      <c r="B161" s="4"/>
      <c r="C161" s="4" t="s">
        <v>175</v>
      </c>
      <c r="D161" s="4" t="s">
        <v>208</v>
      </c>
      <c r="E161" s="4" t="s">
        <v>256</v>
      </c>
      <c r="F161" s="17">
        <v>92</v>
      </c>
      <c r="G161" s="17">
        <v>178.5</v>
      </c>
      <c r="H161" s="17">
        <f t="shared" si="130"/>
        <v>10473.279999999992</v>
      </c>
      <c r="I161" s="17">
        <f t="shared" si="131"/>
        <v>5948.720000000008</v>
      </c>
      <c r="J161" s="17">
        <f t="shared" si="132"/>
        <v>16422</v>
      </c>
      <c r="K161" s="17">
        <v>0.14424</v>
      </c>
      <c r="L161" s="17">
        <f t="shared" si="133"/>
        <v>13.27008</v>
      </c>
      <c r="M161" s="29" t="s">
        <v>279</v>
      </c>
      <c r="N161" s="29" t="s">
        <v>7</v>
      </c>
      <c r="O161" s="17">
        <f t="shared" si="134"/>
        <v>0</v>
      </c>
      <c r="Z161" s="17">
        <f t="shared" si="135"/>
        <v>0</v>
      </c>
      <c r="AA161" s="17">
        <f t="shared" si="136"/>
        <v>0</v>
      </c>
      <c r="AB161" s="17">
        <f t="shared" si="137"/>
        <v>16422</v>
      </c>
      <c r="AD161" s="34">
        <v>21</v>
      </c>
      <c r="AE161" s="34">
        <f>G161*0.637759103641456</f>
        <v>113.8399999999999</v>
      </c>
      <c r="AF161" s="34">
        <f>G161*(1-0.637759103641456)</f>
        <v>64.6600000000001</v>
      </c>
      <c r="AM161" s="34">
        <f t="shared" si="138"/>
        <v>10473.279999999992</v>
      </c>
      <c r="AN161" s="34">
        <f t="shared" si="139"/>
        <v>5948.720000000008</v>
      </c>
      <c r="AO161" s="35" t="s">
        <v>306</v>
      </c>
      <c r="AP161" s="35" t="s">
        <v>311</v>
      </c>
      <c r="AQ161" s="26" t="s">
        <v>313</v>
      </c>
    </row>
    <row r="162" spans="1:43" ht="12.75">
      <c r="A162" s="5" t="s">
        <v>143</v>
      </c>
      <c r="B162" s="5"/>
      <c r="C162" s="5" t="s">
        <v>176</v>
      </c>
      <c r="D162" s="5" t="s">
        <v>209</v>
      </c>
      <c r="E162" s="5" t="s">
        <v>258</v>
      </c>
      <c r="F162" s="18">
        <v>320</v>
      </c>
      <c r="G162" s="18">
        <v>14.6</v>
      </c>
      <c r="H162" s="18">
        <f t="shared" si="130"/>
        <v>4672</v>
      </c>
      <c r="I162" s="18">
        <f t="shared" si="131"/>
        <v>0</v>
      </c>
      <c r="J162" s="18">
        <f t="shared" si="132"/>
        <v>4672</v>
      </c>
      <c r="K162" s="18">
        <v>0.0052</v>
      </c>
      <c r="L162" s="18">
        <f t="shared" si="133"/>
        <v>1.664</v>
      </c>
      <c r="M162" s="30" t="s">
        <v>279</v>
      </c>
      <c r="N162" s="30" t="s">
        <v>282</v>
      </c>
      <c r="O162" s="18">
        <f t="shared" si="134"/>
        <v>0</v>
      </c>
      <c r="Z162" s="18">
        <f t="shared" si="135"/>
        <v>0</v>
      </c>
      <c r="AA162" s="18">
        <f t="shared" si="136"/>
        <v>0</v>
      </c>
      <c r="AB162" s="18">
        <f t="shared" si="137"/>
        <v>4672</v>
      </c>
      <c r="AD162" s="34">
        <v>21</v>
      </c>
      <c r="AE162" s="34">
        <f>G162*1</f>
        <v>14.6</v>
      </c>
      <c r="AF162" s="34">
        <f>G162*(1-1)</f>
        <v>0</v>
      </c>
      <c r="AM162" s="34">
        <f t="shared" si="138"/>
        <v>4672</v>
      </c>
      <c r="AN162" s="34">
        <f t="shared" si="139"/>
        <v>0</v>
      </c>
      <c r="AO162" s="35" t="s">
        <v>306</v>
      </c>
      <c r="AP162" s="35" t="s">
        <v>311</v>
      </c>
      <c r="AQ162" s="26" t="s">
        <v>313</v>
      </c>
    </row>
    <row r="163" spans="1:43" ht="12.75">
      <c r="A163" s="4" t="s">
        <v>144</v>
      </c>
      <c r="B163" s="4"/>
      <c r="C163" s="4" t="s">
        <v>194</v>
      </c>
      <c r="D163" s="4" t="s">
        <v>231</v>
      </c>
      <c r="E163" s="4" t="s">
        <v>255</v>
      </c>
      <c r="F163" s="17">
        <v>27.6</v>
      </c>
      <c r="G163" s="17">
        <v>20</v>
      </c>
      <c r="H163" s="17">
        <f t="shared" si="130"/>
        <v>0</v>
      </c>
      <c r="I163" s="17">
        <f t="shared" si="131"/>
        <v>552</v>
      </c>
      <c r="J163" s="17">
        <f t="shared" si="132"/>
        <v>552</v>
      </c>
      <c r="K163" s="17">
        <v>0.1</v>
      </c>
      <c r="L163" s="17">
        <f t="shared" si="133"/>
        <v>2.7600000000000002</v>
      </c>
      <c r="M163" s="29" t="s">
        <v>279</v>
      </c>
      <c r="N163" s="29" t="s">
        <v>7</v>
      </c>
      <c r="O163" s="17">
        <f t="shared" si="134"/>
        <v>0</v>
      </c>
      <c r="Z163" s="17">
        <f t="shared" si="135"/>
        <v>0</v>
      </c>
      <c r="AA163" s="17">
        <f t="shared" si="136"/>
        <v>0</v>
      </c>
      <c r="AB163" s="17">
        <f t="shared" si="137"/>
        <v>552</v>
      </c>
      <c r="AD163" s="34">
        <v>21</v>
      </c>
      <c r="AE163" s="34">
        <f>G163*0</f>
        <v>0</v>
      </c>
      <c r="AF163" s="34">
        <f>G163*(1-0)</f>
        <v>20</v>
      </c>
      <c r="AM163" s="34">
        <f t="shared" si="138"/>
        <v>0</v>
      </c>
      <c r="AN163" s="34">
        <f t="shared" si="139"/>
        <v>552</v>
      </c>
      <c r="AO163" s="35" t="s">
        <v>306</v>
      </c>
      <c r="AP163" s="35" t="s">
        <v>311</v>
      </c>
      <c r="AQ163" s="26" t="s">
        <v>313</v>
      </c>
    </row>
    <row r="164" spans="1:43" ht="12.75">
      <c r="A164" s="4" t="s">
        <v>145</v>
      </c>
      <c r="B164" s="4"/>
      <c r="C164" s="4" t="s">
        <v>195</v>
      </c>
      <c r="D164" s="4" t="s">
        <v>235</v>
      </c>
      <c r="E164" s="4" t="s">
        <v>255</v>
      </c>
      <c r="F164" s="17">
        <v>56</v>
      </c>
      <c r="G164" s="17">
        <v>220</v>
      </c>
      <c r="H164" s="17">
        <f t="shared" si="130"/>
        <v>5624.639999999993</v>
      </c>
      <c r="I164" s="17">
        <f t="shared" si="131"/>
        <v>6695.360000000007</v>
      </c>
      <c r="J164" s="17">
        <f t="shared" si="132"/>
        <v>12320</v>
      </c>
      <c r="K164" s="17">
        <v>0.2334</v>
      </c>
      <c r="L164" s="17">
        <f t="shared" si="133"/>
        <v>13.0704</v>
      </c>
      <c r="M164" s="29" t="s">
        <v>281</v>
      </c>
      <c r="N164" s="29" t="s">
        <v>7</v>
      </c>
      <c r="O164" s="17">
        <f t="shared" si="134"/>
        <v>0</v>
      </c>
      <c r="Z164" s="17">
        <f t="shared" si="135"/>
        <v>0</v>
      </c>
      <c r="AA164" s="17">
        <f t="shared" si="136"/>
        <v>0</v>
      </c>
      <c r="AB164" s="17">
        <f t="shared" si="137"/>
        <v>12320</v>
      </c>
      <c r="AD164" s="34">
        <v>21</v>
      </c>
      <c r="AE164" s="34">
        <f>G164*0.456545454545454</f>
        <v>100.43999999999987</v>
      </c>
      <c r="AF164" s="34">
        <f>G164*(1-0.456545454545454)</f>
        <v>119.56000000000014</v>
      </c>
      <c r="AM164" s="34">
        <f t="shared" si="138"/>
        <v>5624.639999999993</v>
      </c>
      <c r="AN164" s="34">
        <f t="shared" si="139"/>
        <v>6695.360000000008</v>
      </c>
      <c r="AO164" s="35" t="s">
        <v>306</v>
      </c>
      <c r="AP164" s="35" t="s">
        <v>311</v>
      </c>
      <c r="AQ164" s="26" t="s">
        <v>313</v>
      </c>
    </row>
    <row r="165" spans="1:43" ht="12.75">
      <c r="A165" s="4" t="s">
        <v>146</v>
      </c>
      <c r="B165" s="4"/>
      <c r="C165" s="4" t="s">
        <v>181</v>
      </c>
      <c r="D165" s="4" t="s">
        <v>214</v>
      </c>
      <c r="E165" s="4" t="s">
        <v>259</v>
      </c>
      <c r="F165" s="17">
        <v>24.76</v>
      </c>
      <c r="G165" s="17">
        <v>530</v>
      </c>
      <c r="H165" s="17">
        <f t="shared" si="130"/>
        <v>0</v>
      </c>
      <c r="I165" s="17">
        <f t="shared" si="131"/>
        <v>13122.800000000001</v>
      </c>
      <c r="J165" s="17">
        <f t="shared" si="132"/>
        <v>13122.800000000001</v>
      </c>
      <c r="K165" s="17">
        <v>0</v>
      </c>
      <c r="L165" s="17">
        <f t="shared" si="133"/>
        <v>0</v>
      </c>
      <c r="M165" s="29" t="s">
        <v>280</v>
      </c>
      <c r="N165" s="29" t="s">
        <v>11</v>
      </c>
      <c r="O165" s="17">
        <f t="shared" si="134"/>
        <v>13122.800000000001</v>
      </c>
      <c r="Z165" s="17">
        <f t="shared" si="135"/>
        <v>0</v>
      </c>
      <c r="AA165" s="17">
        <f t="shared" si="136"/>
        <v>0</v>
      </c>
      <c r="AB165" s="17">
        <f t="shared" si="137"/>
        <v>13122.800000000001</v>
      </c>
      <c r="AD165" s="34">
        <v>21</v>
      </c>
      <c r="AE165" s="34">
        <f>G165*0</f>
        <v>0</v>
      </c>
      <c r="AF165" s="34">
        <f>G165*(1-0)</f>
        <v>530</v>
      </c>
      <c r="AM165" s="34">
        <f t="shared" si="138"/>
        <v>0</v>
      </c>
      <c r="AN165" s="34">
        <f t="shared" si="139"/>
        <v>13122.800000000001</v>
      </c>
      <c r="AO165" s="35" t="s">
        <v>306</v>
      </c>
      <c r="AP165" s="35" t="s">
        <v>311</v>
      </c>
      <c r="AQ165" s="26" t="s">
        <v>313</v>
      </c>
    </row>
    <row r="166" spans="1:43" ht="12.75">
      <c r="A166" s="4" t="s">
        <v>147</v>
      </c>
      <c r="B166" s="4"/>
      <c r="C166" s="4" t="s">
        <v>182</v>
      </c>
      <c r="D166" s="4" t="s">
        <v>215</v>
      </c>
      <c r="E166" s="4" t="s">
        <v>259</v>
      </c>
      <c r="F166" s="17">
        <v>64.08</v>
      </c>
      <c r="G166" s="17">
        <v>50.6</v>
      </c>
      <c r="H166" s="17">
        <f t="shared" si="130"/>
        <v>0</v>
      </c>
      <c r="I166" s="17">
        <f t="shared" si="131"/>
        <v>3242.448</v>
      </c>
      <c r="J166" s="17">
        <f t="shared" si="132"/>
        <v>3242.448</v>
      </c>
      <c r="K166" s="17">
        <v>0</v>
      </c>
      <c r="L166" s="17">
        <f t="shared" si="133"/>
        <v>0</v>
      </c>
      <c r="M166" s="29" t="s">
        <v>281</v>
      </c>
      <c r="N166" s="29" t="s">
        <v>11</v>
      </c>
      <c r="O166" s="17">
        <f t="shared" si="134"/>
        <v>3242.448</v>
      </c>
      <c r="Z166" s="17">
        <f t="shared" si="135"/>
        <v>0</v>
      </c>
      <c r="AA166" s="17">
        <f t="shared" si="136"/>
        <v>0</v>
      </c>
      <c r="AB166" s="17">
        <f t="shared" si="137"/>
        <v>3242.448</v>
      </c>
      <c r="AD166" s="34">
        <v>21</v>
      </c>
      <c r="AE166" s="34">
        <f>G166*0</f>
        <v>0</v>
      </c>
      <c r="AF166" s="34">
        <f>G166*(1-0)</f>
        <v>50.6</v>
      </c>
      <c r="AM166" s="34">
        <f t="shared" si="138"/>
        <v>0</v>
      </c>
      <c r="AN166" s="34">
        <f t="shared" si="139"/>
        <v>3242.448</v>
      </c>
      <c r="AO166" s="35" t="s">
        <v>306</v>
      </c>
      <c r="AP166" s="35" t="s">
        <v>311</v>
      </c>
      <c r="AQ166" s="26" t="s">
        <v>313</v>
      </c>
    </row>
    <row r="167" spans="1:37" ht="12.75">
      <c r="A167" s="6"/>
      <c r="B167" s="13"/>
      <c r="C167" s="13" t="s">
        <v>24</v>
      </c>
      <c r="D167" s="72" t="s">
        <v>245</v>
      </c>
      <c r="E167" s="73"/>
      <c r="F167" s="73"/>
      <c r="G167" s="73"/>
      <c r="H167" s="37">
        <f>SUM(H168:H179)</f>
        <v>7869.360799999998</v>
      </c>
      <c r="I167" s="37">
        <f>SUM(I168:I179)</f>
        <v>23974.3152</v>
      </c>
      <c r="J167" s="37">
        <f>H167+I167</f>
        <v>31843.676</v>
      </c>
      <c r="K167" s="26"/>
      <c r="L167" s="37">
        <f>SUM(L168:L179)</f>
        <v>15.611644999999998</v>
      </c>
      <c r="M167" s="26"/>
      <c r="P167" s="37">
        <f>IF(Q167="PR",J167,SUM(O168:O179))</f>
        <v>2947.166</v>
      </c>
      <c r="Q167" s="26" t="s">
        <v>285</v>
      </c>
      <c r="R167" s="37">
        <f>IF(Q167="HS",H167,0)</f>
        <v>7869.360799999998</v>
      </c>
      <c r="S167" s="37">
        <f>IF(Q167="HS",I167-P167,0)</f>
        <v>21027.1492</v>
      </c>
      <c r="T167" s="37">
        <f>IF(Q167="PS",H167,0)</f>
        <v>0</v>
      </c>
      <c r="U167" s="37">
        <f>IF(Q167="PS",I167-P167,0)</f>
        <v>0</v>
      </c>
      <c r="V167" s="37">
        <f>IF(Q167="MP",H167,0)</f>
        <v>0</v>
      </c>
      <c r="W167" s="37">
        <f>IF(Q167="MP",I167-P167,0)</f>
        <v>0</v>
      </c>
      <c r="X167" s="37">
        <f>IF(Q167="OM",H167,0)</f>
        <v>0</v>
      </c>
      <c r="Y167" s="26"/>
      <c r="AI167" s="37">
        <f>SUM(Z168:Z179)</f>
        <v>0</v>
      </c>
      <c r="AJ167" s="37">
        <f>SUM(AA168:AA179)</f>
        <v>0</v>
      </c>
      <c r="AK167" s="37">
        <f>SUM(AB168:AB179)</f>
        <v>31843.676</v>
      </c>
    </row>
    <row r="168" spans="1:43" ht="12.75">
      <c r="A168" s="4" t="s">
        <v>148</v>
      </c>
      <c r="B168" s="4"/>
      <c r="C168" s="4" t="s">
        <v>171</v>
      </c>
      <c r="D168" s="4" t="s">
        <v>204</v>
      </c>
      <c r="E168" s="4" t="s">
        <v>255</v>
      </c>
      <c r="F168" s="17">
        <v>10.5</v>
      </c>
      <c r="G168" s="17">
        <v>1500</v>
      </c>
      <c r="H168" s="17">
        <f aca="true" t="shared" si="140" ref="H168:H179">F168*AE168</f>
        <v>291.69</v>
      </c>
      <c r="I168" s="17">
        <f aca="true" t="shared" si="141" ref="I168:I179">J168-H168</f>
        <v>15458.31</v>
      </c>
      <c r="J168" s="17">
        <f aca="true" t="shared" si="142" ref="J168:J179">F168*G168</f>
        <v>15750</v>
      </c>
      <c r="K168" s="17">
        <v>0.42</v>
      </c>
      <c r="L168" s="17">
        <f aca="true" t="shared" si="143" ref="L168:L179">F168*K168</f>
        <v>4.41</v>
      </c>
      <c r="M168" s="29" t="s">
        <v>279</v>
      </c>
      <c r="N168" s="29" t="s">
        <v>9</v>
      </c>
      <c r="O168" s="17">
        <f aca="true" t="shared" si="144" ref="O168:O179">IF(N168="5",I168,0)</f>
        <v>0</v>
      </c>
      <c r="Z168" s="17">
        <f aca="true" t="shared" si="145" ref="Z168:Z179">IF(AD168=0,J168,0)</f>
        <v>0</v>
      </c>
      <c r="AA168" s="17">
        <f aca="true" t="shared" si="146" ref="AA168:AA179">IF(AD168=15,J168,0)</f>
        <v>0</v>
      </c>
      <c r="AB168" s="17">
        <f aca="true" t="shared" si="147" ref="AB168:AB179">IF(AD168=21,J168,0)</f>
        <v>15750</v>
      </c>
      <c r="AD168" s="34">
        <v>21</v>
      </c>
      <c r="AE168" s="34">
        <f>G168*0.01852</f>
        <v>27.779999999999998</v>
      </c>
      <c r="AF168" s="34">
        <f>G168*(1-0.01852)</f>
        <v>1472.22</v>
      </c>
      <c r="AM168" s="34">
        <f aca="true" t="shared" si="148" ref="AM168:AM179">F168*AE168</f>
        <v>291.69</v>
      </c>
      <c r="AN168" s="34">
        <f aca="true" t="shared" si="149" ref="AN168:AN179">F168*AF168</f>
        <v>15458.31</v>
      </c>
      <c r="AO168" s="35" t="s">
        <v>307</v>
      </c>
      <c r="AP168" s="35" t="s">
        <v>311</v>
      </c>
      <c r="AQ168" s="26" t="s">
        <v>313</v>
      </c>
    </row>
    <row r="169" spans="1:43" ht="12.75">
      <c r="A169" s="4" t="s">
        <v>149</v>
      </c>
      <c r="B169" s="4"/>
      <c r="C169" s="4" t="s">
        <v>172</v>
      </c>
      <c r="D169" s="4" t="s">
        <v>205</v>
      </c>
      <c r="E169" s="4" t="s">
        <v>256</v>
      </c>
      <c r="F169" s="17">
        <v>5</v>
      </c>
      <c r="G169" s="17">
        <v>28.8</v>
      </c>
      <c r="H169" s="17">
        <f t="shared" si="140"/>
        <v>0</v>
      </c>
      <c r="I169" s="17">
        <f t="shared" si="141"/>
        <v>144</v>
      </c>
      <c r="J169" s="17">
        <f t="shared" si="142"/>
        <v>144</v>
      </c>
      <c r="K169" s="17">
        <v>0.017</v>
      </c>
      <c r="L169" s="17">
        <f t="shared" si="143"/>
        <v>0.085</v>
      </c>
      <c r="M169" s="29" t="s">
        <v>279</v>
      </c>
      <c r="N169" s="29" t="s">
        <v>8</v>
      </c>
      <c r="O169" s="17">
        <f t="shared" si="144"/>
        <v>0</v>
      </c>
      <c r="Z169" s="17">
        <f t="shared" si="145"/>
        <v>0</v>
      </c>
      <c r="AA169" s="17">
        <f t="shared" si="146"/>
        <v>0</v>
      </c>
      <c r="AB169" s="17">
        <f t="shared" si="147"/>
        <v>144</v>
      </c>
      <c r="AD169" s="34">
        <v>21</v>
      </c>
      <c r="AE169" s="34">
        <f>G169*0</f>
        <v>0</v>
      </c>
      <c r="AF169" s="34">
        <f>G169*(1-0)</f>
        <v>28.8</v>
      </c>
      <c r="AM169" s="34">
        <f t="shared" si="148"/>
        <v>0</v>
      </c>
      <c r="AN169" s="34">
        <f t="shared" si="149"/>
        <v>144</v>
      </c>
      <c r="AO169" s="35" t="s">
        <v>307</v>
      </c>
      <c r="AP169" s="35" t="s">
        <v>311</v>
      </c>
      <c r="AQ169" s="26" t="s">
        <v>313</v>
      </c>
    </row>
    <row r="170" spans="1:43" ht="12.75">
      <c r="A170" s="4" t="s">
        <v>150</v>
      </c>
      <c r="B170" s="4"/>
      <c r="C170" s="4" t="s">
        <v>173</v>
      </c>
      <c r="D170" s="4" t="s">
        <v>246</v>
      </c>
      <c r="E170" s="4" t="s">
        <v>257</v>
      </c>
      <c r="F170" s="17">
        <v>2.63</v>
      </c>
      <c r="G170" s="17">
        <v>1120</v>
      </c>
      <c r="H170" s="17">
        <f t="shared" si="140"/>
        <v>0</v>
      </c>
      <c r="I170" s="17">
        <f t="shared" si="141"/>
        <v>2945.6</v>
      </c>
      <c r="J170" s="17">
        <f t="shared" si="142"/>
        <v>2945.6</v>
      </c>
      <c r="K170" s="17">
        <v>1.6</v>
      </c>
      <c r="L170" s="17">
        <f t="shared" si="143"/>
        <v>4.208</v>
      </c>
      <c r="M170" s="29" t="s">
        <v>280</v>
      </c>
      <c r="N170" s="29" t="s">
        <v>7</v>
      </c>
      <c r="O170" s="17">
        <f t="shared" si="144"/>
        <v>0</v>
      </c>
      <c r="Z170" s="17">
        <f t="shared" si="145"/>
        <v>0</v>
      </c>
      <c r="AA170" s="17">
        <f t="shared" si="146"/>
        <v>0</v>
      </c>
      <c r="AB170" s="17">
        <f t="shared" si="147"/>
        <v>2945.6</v>
      </c>
      <c r="AD170" s="34">
        <v>21</v>
      </c>
      <c r="AE170" s="34">
        <f>G170*0</f>
        <v>0</v>
      </c>
      <c r="AF170" s="34">
        <f>G170*(1-0)</f>
        <v>1120</v>
      </c>
      <c r="AM170" s="34">
        <f t="shared" si="148"/>
        <v>0</v>
      </c>
      <c r="AN170" s="34">
        <f t="shared" si="149"/>
        <v>2945.6</v>
      </c>
      <c r="AO170" s="35" t="s">
        <v>307</v>
      </c>
      <c r="AP170" s="35" t="s">
        <v>311</v>
      </c>
      <c r="AQ170" s="26" t="s">
        <v>313</v>
      </c>
    </row>
    <row r="171" spans="1:43" ht="12.75">
      <c r="A171" s="4" t="s">
        <v>151</v>
      </c>
      <c r="B171" s="4"/>
      <c r="C171" s="4" t="s">
        <v>174</v>
      </c>
      <c r="D171" s="4" t="s">
        <v>207</v>
      </c>
      <c r="E171" s="4" t="s">
        <v>255</v>
      </c>
      <c r="F171" s="17">
        <v>10.5</v>
      </c>
      <c r="G171" s="17">
        <v>109.2</v>
      </c>
      <c r="H171" s="17">
        <f t="shared" si="140"/>
        <v>967.1549999999995</v>
      </c>
      <c r="I171" s="17">
        <f t="shared" si="141"/>
        <v>179.44500000000062</v>
      </c>
      <c r="J171" s="17">
        <f t="shared" si="142"/>
        <v>1146.6000000000001</v>
      </c>
      <c r="K171" s="17">
        <v>0.27994</v>
      </c>
      <c r="L171" s="17">
        <f t="shared" si="143"/>
        <v>2.9393700000000003</v>
      </c>
      <c r="M171" s="29" t="s">
        <v>280</v>
      </c>
      <c r="N171" s="29" t="s">
        <v>7</v>
      </c>
      <c r="O171" s="17">
        <f t="shared" si="144"/>
        <v>0</v>
      </c>
      <c r="Z171" s="17">
        <f t="shared" si="145"/>
        <v>0</v>
      </c>
      <c r="AA171" s="17">
        <f t="shared" si="146"/>
        <v>0</v>
      </c>
      <c r="AB171" s="17">
        <f t="shared" si="147"/>
        <v>1146.6000000000001</v>
      </c>
      <c r="AD171" s="34">
        <v>21</v>
      </c>
      <c r="AE171" s="34">
        <f>G171*0.843498168498168</f>
        <v>92.10999999999996</v>
      </c>
      <c r="AF171" s="34">
        <f>G171*(1-0.843498168498168)</f>
        <v>17.09000000000005</v>
      </c>
      <c r="AM171" s="34">
        <f t="shared" si="148"/>
        <v>967.1549999999995</v>
      </c>
      <c r="AN171" s="34">
        <f t="shared" si="149"/>
        <v>179.44500000000053</v>
      </c>
      <c r="AO171" s="35" t="s">
        <v>307</v>
      </c>
      <c r="AP171" s="35" t="s">
        <v>311</v>
      </c>
      <c r="AQ171" s="26" t="s">
        <v>313</v>
      </c>
    </row>
    <row r="172" spans="1:43" ht="12.75">
      <c r="A172" s="4" t="s">
        <v>152</v>
      </c>
      <c r="B172" s="4"/>
      <c r="C172" s="4" t="s">
        <v>175</v>
      </c>
      <c r="D172" s="4" t="s">
        <v>208</v>
      </c>
      <c r="E172" s="4" t="s">
        <v>256</v>
      </c>
      <c r="F172" s="17">
        <v>5</v>
      </c>
      <c r="G172" s="17">
        <v>178.5</v>
      </c>
      <c r="H172" s="17">
        <f t="shared" si="140"/>
        <v>569.2000000000005</v>
      </c>
      <c r="I172" s="17">
        <f t="shared" si="141"/>
        <v>323.2999999999995</v>
      </c>
      <c r="J172" s="17">
        <f t="shared" si="142"/>
        <v>892.5</v>
      </c>
      <c r="K172" s="17">
        <v>0.14424</v>
      </c>
      <c r="L172" s="17">
        <f t="shared" si="143"/>
        <v>0.7212000000000001</v>
      </c>
      <c r="M172" s="29" t="s">
        <v>279</v>
      </c>
      <c r="N172" s="29" t="s">
        <v>7</v>
      </c>
      <c r="O172" s="17">
        <f t="shared" si="144"/>
        <v>0</v>
      </c>
      <c r="Z172" s="17">
        <f t="shared" si="145"/>
        <v>0</v>
      </c>
      <c r="AA172" s="17">
        <f t="shared" si="146"/>
        <v>0</v>
      </c>
      <c r="AB172" s="17">
        <f t="shared" si="147"/>
        <v>892.5</v>
      </c>
      <c r="AD172" s="34">
        <v>21</v>
      </c>
      <c r="AE172" s="34">
        <f>G172*0.637759103641457</f>
        <v>113.84000000000009</v>
      </c>
      <c r="AF172" s="34">
        <f>G172*(1-0.637759103641457)</f>
        <v>64.65999999999991</v>
      </c>
      <c r="AM172" s="34">
        <f t="shared" si="148"/>
        <v>569.2000000000005</v>
      </c>
      <c r="AN172" s="34">
        <f t="shared" si="149"/>
        <v>323.29999999999956</v>
      </c>
      <c r="AO172" s="35" t="s">
        <v>307</v>
      </c>
      <c r="AP172" s="35" t="s">
        <v>311</v>
      </c>
      <c r="AQ172" s="26" t="s">
        <v>313</v>
      </c>
    </row>
    <row r="173" spans="1:43" ht="12.75">
      <c r="A173" s="5" t="s">
        <v>153</v>
      </c>
      <c r="B173" s="5"/>
      <c r="C173" s="5" t="s">
        <v>176</v>
      </c>
      <c r="D173" s="5" t="s">
        <v>209</v>
      </c>
      <c r="E173" s="5" t="s">
        <v>258</v>
      </c>
      <c r="F173" s="18">
        <v>20</v>
      </c>
      <c r="G173" s="18">
        <v>14.6</v>
      </c>
      <c r="H173" s="18">
        <f t="shared" si="140"/>
        <v>292</v>
      </c>
      <c r="I173" s="18">
        <f t="shared" si="141"/>
        <v>0</v>
      </c>
      <c r="J173" s="18">
        <f t="shared" si="142"/>
        <v>292</v>
      </c>
      <c r="K173" s="18">
        <v>0.0052</v>
      </c>
      <c r="L173" s="18">
        <f t="shared" si="143"/>
        <v>0.104</v>
      </c>
      <c r="M173" s="30" t="s">
        <v>279</v>
      </c>
      <c r="N173" s="30" t="s">
        <v>282</v>
      </c>
      <c r="O173" s="18">
        <f t="shared" si="144"/>
        <v>0</v>
      </c>
      <c r="Z173" s="18">
        <f t="shared" si="145"/>
        <v>0</v>
      </c>
      <c r="AA173" s="18">
        <f t="shared" si="146"/>
        <v>0</v>
      </c>
      <c r="AB173" s="18">
        <f t="shared" si="147"/>
        <v>292</v>
      </c>
      <c r="AD173" s="34">
        <v>21</v>
      </c>
      <c r="AE173" s="34">
        <f>G173*1</f>
        <v>14.6</v>
      </c>
      <c r="AF173" s="34">
        <f>G173*(1-1)</f>
        <v>0</v>
      </c>
      <c r="AM173" s="34">
        <f t="shared" si="148"/>
        <v>292</v>
      </c>
      <c r="AN173" s="34">
        <f t="shared" si="149"/>
        <v>0</v>
      </c>
      <c r="AO173" s="35" t="s">
        <v>307</v>
      </c>
      <c r="AP173" s="35" t="s">
        <v>311</v>
      </c>
      <c r="AQ173" s="26" t="s">
        <v>313</v>
      </c>
    </row>
    <row r="174" spans="1:43" ht="12.75">
      <c r="A174" s="4" t="s">
        <v>154</v>
      </c>
      <c r="B174" s="4"/>
      <c r="C174" s="4" t="s">
        <v>177</v>
      </c>
      <c r="D174" s="4" t="s">
        <v>210</v>
      </c>
      <c r="E174" s="4" t="s">
        <v>259</v>
      </c>
      <c r="F174" s="17">
        <v>0.06</v>
      </c>
      <c r="G174" s="17">
        <v>28750</v>
      </c>
      <c r="H174" s="17">
        <f t="shared" si="140"/>
        <v>1449.598799999999</v>
      </c>
      <c r="I174" s="17">
        <f t="shared" si="141"/>
        <v>275.4012000000009</v>
      </c>
      <c r="J174" s="17">
        <f t="shared" si="142"/>
        <v>1725</v>
      </c>
      <c r="K174" s="17">
        <v>1.06625</v>
      </c>
      <c r="L174" s="17">
        <f t="shared" si="143"/>
        <v>0.06397499999999999</v>
      </c>
      <c r="M174" s="29" t="s">
        <v>279</v>
      </c>
      <c r="N174" s="29" t="s">
        <v>7</v>
      </c>
      <c r="O174" s="17">
        <f t="shared" si="144"/>
        <v>0</v>
      </c>
      <c r="Z174" s="17">
        <f t="shared" si="145"/>
        <v>0</v>
      </c>
      <c r="AA174" s="17">
        <f t="shared" si="146"/>
        <v>0</v>
      </c>
      <c r="AB174" s="17">
        <f t="shared" si="147"/>
        <v>1725</v>
      </c>
      <c r="AD174" s="34">
        <v>21</v>
      </c>
      <c r="AE174" s="34">
        <f>G174*0.840347130434782</f>
        <v>24159.979999999985</v>
      </c>
      <c r="AF174" s="34">
        <f>G174*(1-0.840347130434782)</f>
        <v>4590.020000000016</v>
      </c>
      <c r="AM174" s="34">
        <f t="shared" si="148"/>
        <v>1449.598799999999</v>
      </c>
      <c r="AN174" s="34">
        <f t="shared" si="149"/>
        <v>275.4012000000009</v>
      </c>
      <c r="AO174" s="35" t="s">
        <v>307</v>
      </c>
      <c r="AP174" s="35" t="s">
        <v>311</v>
      </c>
      <c r="AQ174" s="26" t="s">
        <v>313</v>
      </c>
    </row>
    <row r="175" spans="1:43" ht="12.75">
      <c r="A175" s="4" t="s">
        <v>155</v>
      </c>
      <c r="B175" s="4"/>
      <c r="C175" s="4" t="s">
        <v>178</v>
      </c>
      <c r="D175" s="4" t="s">
        <v>211</v>
      </c>
      <c r="E175" s="4" t="s">
        <v>257</v>
      </c>
      <c r="F175" s="17">
        <v>1.2</v>
      </c>
      <c r="G175" s="17">
        <v>2890</v>
      </c>
      <c r="H175" s="17">
        <f t="shared" si="140"/>
        <v>2873.0399999999986</v>
      </c>
      <c r="I175" s="17">
        <f t="shared" si="141"/>
        <v>594.9600000000014</v>
      </c>
      <c r="J175" s="17">
        <f t="shared" si="142"/>
        <v>3468</v>
      </c>
      <c r="K175" s="17">
        <v>2.545</v>
      </c>
      <c r="L175" s="17">
        <f t="shared" si="143"/>
        <v>3.054</v>
      </c>
      <c r="M175" s="29" t="s">
        <v>279</v>
      </c>
      <c r="N175" s="29" t="s">
        <v>7</v>
      </c>
      <c r="O175" s="17">
        <f t="shared" si="144"/>
        <v>0</v>
      </c>
      <c r="Z175" s="17">
        <f t="shared" si="145"/>
        <v>0</v>
      </c>
      <c r="AA175" s="17">
        <f t="shared" si="146"/>
        <v>0</v>
      </c>
      <c r="AB175" s="17">
        <f t="shared" si="147"/>
        <v>3468</v>
      </c>
      <c r="AD175" s="34">
        <v>21</v>
      </c>
      <c r="AE175" s="34">
        <f>G175*0.828442906574394</f>
        <v>2394.199999999999</v>
      </c>
      <c r="AF175" s="34">
        <f>G175*(1-0.828442906574394)</f>
        <v>495.8000000000013</v>
      </c>
      <c r="AM175" s="34">
        <f t="shared" si="148"/>
        <v>2873.0399999999986</v>
      </c>
      <c r="AN175" s="34">
        <f t="shared" si="149"/>
        <v>594.9600000000015</v>
      </c>
      <c r="AO175" s="35" t="s">
        <v>307</v>
      </c>
      <c r="AP175" s="35" t="s">
        <v>311</v>
      </c>
      <c r="AQ175" s="26" t="s">
        <v>313</v>
      </c>
    </row>
    <row r="176" spans="1:43" ht="12.75">
      <c r="A176" s="4" t="s">
        <v>156</v>
      </c>
      <c r="B176" s="4"/>
      <c r="C176" s="4" t="s">
        <v>179</v>
      </c>
      <c r="D176" s="4" t="s">
        <v>212</v>
      </c>
      <c r="E176" s="4" t="s">
        <v>257</v>
      </c>
      <c r="F176" s="17">
        <v>1.2</v>
      </c>
      <c r="G176" s="17">
        <v>491.925</v>
      </c>
      <c r="H176" s="17">
        <f t="shared" si="140"/>
        <v>71.44200000000008</v>
      </c>
      <c r="I176" s="17">
        <f t="shared" si="141"/>
        <v>518.8679999999998</v>
      </c>
      <c r="J176" s="17">
        <f t="shared" si="142"/>
        <v>590.31</v>
      </c>
      <c r="K176" s="17">
        <v>0.02</v>
      </c>
      <c r="L176" s="17">
        <f t="shared" si="143"/>
        <v>0.024</v>
      </c>
      <c r="M176" s="29" t="s">
        <v>279</v>
      </c>
      <c r="N176" s="29" t="s">
        <v>7</v>
      </c>
      <c r="O176" s="17">
        <f t="shared" si="144"/>
        <v>0</v>
      </c>
      <c r="Z176" s="17">
        <f t="shared" si="145"/>
        <v>0</v>
      </c>
      <c r="AA176" s="17">
        <f t="shared" si="146"/>
        <v>0</v>
      </c>
      <c r="AB176" s="17">
        <f t="shared" si="147"/>
        <v>590.31</v>
      </c>
      <c r="AD176" s="34">
        <v>21</v>
      </c>
      <c r="AE176" s="34">
        <f>G176*0.12102454642476</f>
        <v>59.53500000000007</v>
      </c>
      <c r="AF176" s="34">
        <f>G176*(1-0.12102454642476)</f>
        <v>432.38999999999993</v>
      </c>
      <c r="AM176" s="34">
        <f t="shared" si="148"/>
        <v>71.44200000000008</v>
      </c>
      <c r="AN176" s="34">
        <f t="shared" si="149"/>
        <v>518.8679999999999</v>
      </c>
      <c r="AO176" s="35" t="s">
        <v>307</v>
      </c>
      <c r="AP176" s="35" t="s">
        <v>311</v>
      </c>
      <c r="AQ176" s="26" t="s">
        <v>313</v>
      </c>
    </row>
    <row r="177" spans="1:43" ht="12.75">
      <c r="A177" s="4" t="s">
        <v>157</v>
      </c>
      <c r="B177" s="4"/>
      <c r="C177" s="4" t="s">
        <v>180</v>
      </c>
      <c r="D177" s="4" t="s">
        <v>213</v>
      </c>
      <c r="E177" s="4" t="s">
        <v>255</v>
      </c>
      <c r="F177" s="17">
        <v>10.5</v>
      </c>
      <c r="G177" s="17">
        <v>185</v>
      </c>
      <c r="H177" s="17">
        <f t="shared" si="140"/>
        <v>1355.2350000000006</v>
      </c>
      <c r="I177" s="17">
        <f t="shared" si="141"/>
        <v>587.2649999999994</v>
      </c>
      <c r="J177" s="17">
        <f t="shared" si="142"/>
        <v>1942.5</v>
      </c>
      <c r="K177" s="17">
        <v>0.0002</v>
      </c>
      <c r="L177" s="17">
        <f t="shared" si="143"/>
        <v>0.0021000000000000003</v>
      </c>
      <c r="M177" s="29" t="s">
        <v>280</v>
      </c>
      <c r="N177" s="29" t="s">
        <v>7</v>
      </c>
      <c r="O177" s="17">
        <f t="shared" si="144"/>
        <v>0</v>
      </c>
      <c r="Z177" s="17">
        <f t="shared" si="145"/>
        <v>0</v>
      </c>
      <c r="AA177" s="17">
        <f t="shared" si="146"/>
        <v>0</v>
      </c>
      <c r="AB177" s="17">
        <f t="shared" si="147"/>
        <v>1942.5</v>
      </c>
      <c r="AD177" s="34">
        <v>21</v>
      </c>
      <c r="AE177" s="34">
        <f>G177*0.697675675675676</f>
        <v>129.07000000000005</v>
      </c>
      <c r="AF177" s="34">
        <f>G177*(1-0.697675675675676)</f>
        <v>55.929999999999936</v>
      </c>
      <c r="AM177" s="34">
        <f t="shared" si="148"/>
        <v>1355.2350000000006</v>
      </c>
      <c r="AN177" s="34">
        <f t="shared" si="149"/>
        <v>587.2649999999993</v>
      </c>
      <c r="AO177" s="35" t="s">
        <v>307</v>
      </c>
      <c r="AP177" s="35" t="s">
        <v>311</v>
      </c>
      <c r="AQ177" s="26" t="s">
        <v>313</v>
      </c>
    </row>
    <row r="178" spans="1:43" ht="12.75">
      <c r="A178" s="4" t="s">
        <v>158</v>
      </c>
      <c r="B178" s="4"/>
      <c r="C178" s="4" t="s">
        <v>181</v>
      </c>
      <c r="D178" s="4" t="s">
        <v>214</v>
      </c>
      <c r="E178" s="4" t="s">
        <v>259</v>
      </c>
      <c r="F178" s="17">
        <v>4.5</v>
      </c>
      <c r="G178" s="17">
        <v>530</v>
      </c>
      <c r="H178" s="17">
        <f t="shared" si="140"/>
        <v>0</v>
      </c>
      <c r="I178" s="17">
        <f t="shared" si="141"/>
        <v>2385</v>
      </c>
      <c r="J178" s="17">
        <f t="shared" si="142"/>
        <v>2385</v>
      </c>
      <c r="K178" s="17">
        <v>0</v>
      </c>
      <c r="L178" s="17">
        <f t="shared" si="143"/>
        <v>0</v>
      </c>
      <c r="M178" s="29" t="s">
        <v>280</v>
      </c>
      <c r="N178" s="29" t="s">
        <v>11</v>
      </c>
      <c r="O178" s="17">
        <f t="shared" si="144"/>
        <v>2385</v>
      </c>
      <c r="Z178" s="17">
        <f t="shared" si="145"/>
        <v>0</v>
      </c>
      <c r="AA178" s="17">
        <f t="shared" si="146"/>
        <v>0</v>
      </c>
      <c r="AB178" s="17">
        <f t="shared" si="147"/>
        <v>2385</v>
      </c>
      <c r="AD178" s="34">
        <v>21</v>
      </c>
      <c r="AE178" s="34">
        <f>G178*0</f>
        <v>0</v>
      </c>
      <c r="AF178" s="34">
        <f>G178*(1-0)</f>
        <v>530</v>
      </c>
      <c r="AM178" s="34">
        <f t="shared" si="148"/>
        <v>0</v>
      </c>
      <c r="AN178" s="34">
        <f t="shared" si="149"/>
        <v>2385</v>
      </c>
      <c r="AO178" s="35" t="s">
        <v>307</v>
      </c>
      <c r="AP178" s="35" t="s">
        <v>311</v>
      </c>
      <c r="AQ178" s="26" t="s">
        <v>313</v>
      </c>
    </row>
    <row r="179" spans="1:43" ht="12.75">
      <c r="A179" s="4" t="s">
        <v>159</v>
      </c>
      <c r="B179" s="4"/>
      <c r="C179" s="4" t="s">
        <v>182</v>
      </c>
      <c r="D179" s="4" t="s">
        <v>215</v>
      </c>
      <c r="E179" s="4" t="s">
        <v>259</v>
      </c>
      <c r="F179" s="17">
        <v>11.11</v>
      </c>
      <c r="G179" s="17">
        <v>50.6</v>
      </c>
      <c r="H179" s="17">
        <f t="shared" si="140"/>
        <v>0</v>
      </c>
      <c r="I179" s="17">
        <f t="shared" si="141"/>
        <v>562.1659999999999</v>
      </c>
      <c r="J179" s="17">
        <f t="shared" si="142"/>
        <v>562.1659999999999</v>
      </c>
      <c r="K179" s="17">
        <v>0</v>
      </c>
      <c r="L179" s="17">
        <f t="shared" si="143"/>
        <v>0</v>
      </c>
      <c r="M179" s="29" t="s">
        <v>281</v>
      </c>
      <c r="N179" s="29" t="s">
        <v>11</v>
      </c>
      <c r="O179" s="17">
        <f t="shared" si="144"/>
        <v>562.1659999999999</v>
      </c>
      <c r="Z179" s="17">
        <f t="shared" si="145"/>
        <v>0</v>
      </c>
      <c r="AA179" s="17">
        <f t="shared" si="146"/>
        <v>0</v>
      </c>
      <c r="AB179" s="17">
        <f t="shared" si="147"/>
        <v>562.1659999999999</v>
      </c>
      <c r="AD179" s="34">
        <v>21</v>
      </c>
      <c r="AE179" s="34">
        <f>G179*0</f>
        <v>0</v>
      </c>
      <c r="AF179" s="34">
        <f>G179*(1-0)</f>
        <v>50.6</v>
      </c>
      <c r="AM179" s="34">
        <f t="shared" si="148"/>
        <v>0</v>
      </c>
      <c r="AN179" s="34">
        <f t="shared" si="149"/>
        <v>562.1659999999999</v>
      </c>
      <c r="AO179" s="35" t="s">
        <v>307</v>
      </c>
      <c r="AP179" s="35" t="s">
        <v>311</v>
      </c>
      <c r="AQ179" s="26" t="s">
        <v>313</v>
      </c>
    </row>
    <row r="180" spans="1:37" ht="12.75">
      <c r="A180" s="6"/>
      <c r="B180" s="13"/>
      <c r="C180" s="13" t="s">
        <v>25</v>
      </c>
      <c r="D180" s="72" t="s">
        <v>247</v>
      </c>
      <c r="E180" s="73"/>
      <c r="F180" s="73"/>
      <c r="G180" s="73"/>
      <c r="H180" s="37">
        <f>SUM(H181:H181)</f>
        <v>14940.24000000001</v>
      </c>
      <c r="I180" s="37">
        <f>SUM(I181:I181)</f>
        <v>17539.759999999987</v>
      </c>
      <c r="J180" s="37">
        <f>H180+I180</f>
        <v>32480</v>
      </c>
      <c r="K180" s="26"/>
      <c r="L180" s="37">
        <f>SUM(L181:L181)</f>
        <v>22.63632</v>
      </c>
      <c r="M180" s="26"/>
      <c r="P180" s="37">
        <f>IF(Q180="PR",J180,SUM(O181:O181))</f>
        <v>0</v>
      </c>
      <c r="Q180" s="26" t="s">
        <v>285</v>
      </c>
      <c r="R180" s="37">
        <f>IF(Q180="HS",H180,0)</f>
        <v>14940.24000000001</v>
      </c>
      <c r="S180" s="37">
        <f>IF(Q180="HS",I180-P180,0)</f>
        <v>17539.759999999987</v>
      </c>
      <c r="T180" s="37">
        <f>IF(Q180="PS",H180,0)</f>
        <v>0</v>
      </c>
      <c r="U180" s="37">
        <f>IF(Q180="PS",I180-P180,0)</f>
        <v>0</v>
      </c>
      <c r="V180" s="37">
        <f>IF(Q180="MP",H180,0)</f>
        <v>0</v>
      </c>
      <c r="W180" s="37">
        <f>IF(Q180="MP",I180-P180,0)</f>
        <v>0</v>
      </c>
      <c r="X180" s="37">
        <f>IF(Q180="OM",H180,0)</f>
        <v>0</v>
      </c>
      <c r="Y180" s="26"/>
      <c r="AI180" s="37">
        <f>SUM(Z181:Z181)</f>
        <v>0</v>
      </c>
      <c r="AJ180" s="37">
        <f>SUM(AA181:AA181)</f>
        <v>0</v>
      </c>
      <c r="AK180" s="37">
        <f>SUM(AB181:AB181)</f>
        <v>32480</v>
      </c>
    </row>
    <row r="181" spans="1:43" ht="12.75">
      <c r="A181" s="4" t="s">
        <v>160</v>
      </c>
      <c r="B181" s="4"/>
      <c r="C181" s="4" t="s">
        <v>197</v>
      </c>
      <c r="D181" s="4" t="s">
        <v>248</v>
      </c>
      <c r="E181" s="4" t="s">
        <v>255</v>
      </c>
      <c r="F181" s="17">
        <v>56</v>
      </c>
      <c r="G181" s="17">
        <v>580</v>
      </c>
      <c r="H181" s="17">
        <f>F181*AE181</f>
        <v>14940.24000000001</v>
      </c>
      <c r="I181" s="17">
        <f>J181-H181</f>
        <v>17539.759999999987</v>
      </c>
      <c r="J181" s="17">
        <f>F181*G181</f>
        <v>32480</v>
      </c>
      <c r="K181" s="17">
        <v>0.40422</v>
      </c>
      <c r="L181" s="17">
        <f>F181*K181</f>
        <v>22.63632</v>
      </c>
      <c r="M181" s="29" t="s">
        <v>281</v>
      </c>
      <c r="N181" s="29" t="s">
        <v>7</v>
      </c>
      <c r="O181" s="17">
        <f>IF(N181="5",I181,0)</f>
        <v>0</v>
      </c>
      <c r="Z181" s="17">
        <f>IF(AD181=0,J181,0)</f>
        <v>0</v>
      </c>
      <c r="AA181" s="17">
        <f>IF(AD181=15,J181,0)</f>
        <v>0</v>
      </c>
      <c r="AB181" s="17">
        <f>IF(AD181=21,J181,0)</f>
        <v>32480</v>
      </c>
      <c r="AD181" s="34">
        <v>21</v>
      </c>
      <c r="AE181" s="34">
        <f>G181*0.45998275862069</f>
        <v>266.7900000000002</v>
      </c>
      <c r="AF181" s="34">
        <f>G181*(1-0.45998275862069)</f>
        <v>313.2099999999998</v>
      </c>
      <c r="AM181" s="34">
        <f>F181*AE181</f>
        <v>14940.24000000001</v>
      </c>
      <c r="AN181" s="34">
        <f>F181*AF181</f>
        <v>17539.759999999987</v>
      </c>
      <c r="AO181" s="35" t="s">
        <v>308</v>
      </c>
      <c r="AP181" s="35" t="s">
        <v>311</v>
      </c>
      <c r="AQ181" s="26" t="s">
        <v>313</v>
      </c>
    </row>
    <row r="182" spans="1:37" ht="12.75">
      <c r="A182" s="6"/>
      <c r="B182" s="13"/>
      <c r="C182" s="13" t="s">
        <v>26</v>
      </c>
      <c r="D182" s="72" t="s">
        <v>249</v>
      </c>
      <c r="E182" s="73"/>
      <c r="F182" s="73"/>
      <c r="G182" s="73"/>
      <c r="H182" s="37">
        <f>SUM(H183:H188)</f>
        <v>5374.000000000003</v>
      </c>
      <c r="I182" s="37">
        <f>SUM(I183:I188)</f>
        <v>18697.453999999998</v>
      </c>
      <c r="J182" s="37">
        <f>H182+I182</f>
        <v>24071.454</v>
      </c>
      <c r="K182" s="26"/>
      <c r="L182" s="37">
        <f>SUM(L183:L188)</f>
        <v>25.990000000000002</v>
      </c>
      <c r="M182" s="26"/>
      <c r="P182" s="37">
        <f>IF(Q182="PR",J182,SUM(O183:O188))</f>
        <v>8760.454</v>
      </c>
      <c r="Q182" s="26" t="s">
        <v>285</v>
      </c>
      <c r="R182" s="37">
        <f>IF(Q182="HS",H182,0)</f>
        <v>5374.000000000003</v>
      </c>
      <c r="S182" s="37">
        <f>IF(Q182="HS",I182-P182,0)</f>
        <v>9936.999999999998</v>
      </c>
      <c r="T182" s="37">
        <f>IF(Q182="PS",H182,0)</f>
        <v>0</v>
      </c>
      <c r="U182" s="37">
        <f>IF(Q182="PS",I182-P182,0)</f>
        <v>0</v>
      </c>
      <c r="V182" s="37">
        <f>IF(Q182="MP",H182,0)</f>
        <v>0</v>
      </c>
      <c r="W182" s="37">
        <f>IF(Q182="MP",I182-P182,0)</f>
        <v>0</v>
      </c>
      <c r="X182" s="37">
        <f>IF(Q182="OM",H182,0)</f>
        <v>0</v>
      </c>
      <c r="Y182" s="26"/>
      <c r="AI182" s="37">
        <f>SUM(Z183:Z188)</f>
        <v>0</v>
      </c>
      <c r="AJ182" s="37">
        <f>SUM(AA183:AA188)</f>
        <v>0</v>
      </c>
      <c r="AK182" s="37">
        <f>SUM(AB183:AB188)</f>
        <v>24071.454</v>
      </c>
    </row>
    <row r="183" spans="1:43" ht="12.75">
      <c r="A183" s="4" t="s">
        <v>161</v>
      </c>
      <c r="B183" s="4"/>
      <c r="C183" s="4" t="s">
        <v>171</v>
      </c>
      <c r="D183" s="4" t="s">
        <v>204</v>
      </c>
      <c r="E183" s="4" t="s">
        <v>255</v>
      </c>
      <c r="F183" s="17">
        <v>35</v>
      </c>
      <c r="G183" s="17">
        <v>155</v>
      </c>
      <c r="H183" s="17">
        <f aca="true" t="shared" si="150" ref="H183:H188">F183*AE183</f>
        <v>100.4500000000002</v>
      </c>
      <c r="I183" s="17">
        <f aca="true" t="shared" si="151" ref="I183:I188">J183-H183</f>
        <v>5324.55</v>
      </c>
      <c r="J183" s="17">
        <f aca="true" t="shared" si="152" ref="J183:J188">F183*G183</f>
        <v>5425</v>
      </c>
      <c r="K183" s="17">
        <v>0.42</v>
      </c>
      <c r="L183" s="17">
        <f aca="true" t="shared" si="153" ref="L183:L188">F183*K183</f>
        <v>14.7</v>
      </c>
      <c r="M183" s="29" t="s">
        <v>279</v>
      </c>
      <c r="N183" s="29" t="s">
        <v>9</v>
      </c>
      <c r="O183" s="17">
        <f aca="true" t="shared" si="154" ref="O183:O188">IF(N183="5",I183,0)</f>
        <v>0</v>
      </c>
      <c r="Z183" s="17">
        <f aca="true" t="shared" si="155" ref="Z183:Z188">IF(AD183=0,J183,0)</f>
        <v>0</v>
      </c>
      <c r="AA183" s="17">
        <f aca="true" t="shared" si="156" ref="AA183:AA188">IF(AD183=15,J183,0)</f>
        <v>0</v>
      </c>
      <c r="AB183" s="17">
        <f aca="true" t="shared" si="157" ref="AB183:AB188">IF(AD183=21,J183,0)</f>
        <v>5425</v>
      </c>
      <c r="AD183" s="34">
        <v>21</v>
      </c>
      <c r="AE183" s="34">
        <f>G183*0.0185161290322581</f>
        <v>2.870000000000006</v>
      </c>
      <c r="AF183" s="34">
        <f>G183*(1-0.0185161290322581)</f>
        <v>152.13</v>
      </c>
      <c r="AM183" s="34">
        <f aca="true" t="shared" si="158" ref="AM183:AM188">F183*AE183</f>
        <v>100.4500000000002</v>
      </c>
      <c r="AN183" s="34">
        <f aca="true" t="shared" si="159" ref="AN183:AN188">F183*AF183</f>
        <v>5324.55</v>
      </c>
      <c r="AO183" s="35" t="s">
        <v>309</v>
      </c>
      <c r="AP183" s="35" t="s">
        <v>312</v>
      </c>
      <c r="AQ183" s="26" t="s">
        <v>313</v>
      </c>
    </row>
    <row r="184" spans="1:43" ht="12.75">
      <c r="A184" s="4" t="s">
        <v>162</v>
      </c>
      <c r="B184" s="4"/>
      <c r="C184" s="4" t="s">
        <v>172</v>
      </c>
      <c r="D184" s="4" t="s">
        <v>205</v>
      </c>
      <c r="E184" s="4" t="s">
        <v>256</v>
      </c>
      <c r="F184" s="17">
        <v>70</v>
      </c>
      <c r="G184" s="17">
        <v>28.8</v>
      </c>
      <c r="H184" s="17">
        <f t="shared" si="150"/>
        <v>0</v>
      </c>
      <c r="I184" s="17">
        <f t="shared" si="151"/>
        <v>2016</v>
      </c>
      <c r="J184" s="17">
        <f t="shared" si="152"/>
        <v>2016</v>
      </c>
      <c r="K184" s="17">
        <v>0.017</v>
      </c>
      <c r="L184" s="17">
        <f t="shared" si="153"/>
        <v>1.1900000000000002</v>
      </c>
      <c r="M184" s="29" t="s">
        <v>279</v>
      </c>
      <c r="N184" s="29" t="s">
        <v>8</v>
      </c>
      <c r="O184" s="17">
        <f t="shared" si="154"/>
        <v>0</v>
      </c>
      <c r="Z184" s="17">
        <f t="shared" si="155"/>
        <v>0</v>
      </c>
      <c r="AA184" s="17">
        <f t="shared" si="156"/>
        <v>0</v>
      </c>
      <c r="AB184" s="17">
        <f t="shared" si="157"/>
        <v>2016</v>
      </c>
      <c r="AD184" s="34">
        <v>21</v>
      </c>
      <c r="AE184" s="34">
        <f>G184*0</f>
        <v>0</v>
      </c>
      <c r="AF184" s="34">
        <f>G184*(1-0)</f>
        <v>28.8</v>
      </c>
      <c r="AM184" s="34">
        <f t="shared" si="158"/>
        <v>0</v>
      </c>
      <c r="AN184" s="34">
        <f t="shared" si="159"/>
        <v>2016</v>
      </c>
      <c r="AO184" s="35" t="s">
        <v>309</v>
      </c>
      <c r="AP184" s="35" t="s">
        <v>312</v>
      </c>
      <c r="AQ184" s="26" t="s">
        <v>313</v>
      </c>
    </row>
    <row r="185" spans="1:43" ht="12.75">
      <c r="A185" s="4" t="s">
        <v>163</v>
      </c>
      <c r="B185" s="4"/>
      <c r="C185" s="4" t="s">
        <v>196</v>
      </c>
      <c r="D185" s="4" t="s">
        <v>237</v>
      </c>
      <c r="E185" s="4" t="s">
        <v>255</v>
      </c>
      <c r="F185" s="17">
        <v>45</v>
      </c>
      <c r="G185" s="17">
        <v>150</v>
      </c>
      <c r="H185" s="17">
        <f t="shared" si="150"/>
        <v>5273.550000000003</v>
      </c>
      <c r="I185" s="17">
        <f t="shared" si="151"/>
        <v>1476.449999999997</v>
      </c>
      <c r="J185" s="17">
        <f t="shared" si="152"/>
        <v>6750</v>
      </c>
      <c r="K185" s="17">
        <v>0.1</v>
      </c>
      <c r="L185" s="17">
        <f t="shared" si="153"/>
        <v>4.5</v>
      </c>
      <c r="M185" s="29" t="s">
        <v>279</v>
      </c>
      <c r="N185" s="29" t="s">
        <v>7</v>
      </c>
      <c r="O185" s="17">
        <f t="shared" si="154"/>
        <v>0</v>
      </c>
      <c r="Z185" s="17">
        <f t="shared" si="155"/>
        <v>0</v>
      </c>
      <c r="AA185" s="17">
        <f t="shared" si="156"/>
        <v>0</v>
      </c>
      <c r="AB185" s="17">
        <f t="shared" si="157"/>
        <v>6750</v>
      </c>
      <c r="AD185" s="34">
        <v>21</v>
      </c>
      <c r="AE185" s="34">
        <f>G185*0.781266666666667</f>
        <v>117.19000000000005</v>
      </c>
      <c r="AF185" s="34">
        <f>G185*(1-0.781266666666667)</f>
        <v>32.80999999999995</v>
      </c>
      <c r="AM185" s="34">
        <f t="shared" si="158"/>
        <v>5273.550000000003</v>
      </c>
      <c r="AN185" s="34">
        <f t="shared" si="159"/>
        <v>1476.4499999999978</v>
      </c>
      <c r="AO185" s="35" t="s">
        <v>309</v>
      </c>
      <c r="AP185" s="35" t="s">
        <v>312</v>
      </c>
      <c r="AQ185" s="26" t="s">
        <v>313</v>
      </c>
    </row>
    <row r="186" spans="1:43" ht="12.75">
      <c r="A186" s="4" t="s">
        <v>164</v>
      </c>
      <c r="B186" s="4"/>
      <c r="C186" s="4" t="s">
        <v>194</v>
      </c>
      <c r="D186" s="4" t="s">
        <v>231</v>
      </c>
      <c r="E186" s="4" t="s">
        <v>255</v>
      </c>
      <c r="F186" s="17">
        <v>56</v>
      </c>
      <c r="G186" s="17">
        <v>20</v>
      </c>
      <c r="H186" s="17">
        <f t="shared" si="150"/>
        <v>0</v>
      </c>
      <c r="I186" s="17">
        <f t="shared" si="151"/>
        <v>1120</v>
      </c>
      <c r="J186" s="17">
        <f t="shared" si="152"/>
        <v>1120</v>
      </c>
      <c r="K186" s="17">
        <v>0.1</v>
      </c>
      <c r="L186" s="17">
        <f t="shared" si="153"/>
        <v>5.6000000000000005</v>
      </c>
      <c r="M186" s="29" t="s">
        <v>279</v>
      </c>
      <c r="N186" s="29" t="s">
        <v>7</v>
      </c>
      <c r="O186" s="17">
        <f t="shared" si="154"/>
        <v>0</v>
      </c>
      <c r="Z186" s="17">
        <f t="shared" si="155"/>
        <v>0</v>
      </c>
      <c r="AA186" s="17">
        <f t="shared" si="156"/>
        <v>0</v>
      </c>
      <c r="AB186" s="17">
        <f t="shared" si="157"/>
        <v>1120</v>
      </c>
      <c r="AD186" s="34">
        <v>21</v>
      </c>
      <c r="AE186" s="34">
        <f>G186*0</f>
        <v>0</v>
      </c>
      <c r="AF186" s="34">
        <f>G186*(1-0)</f>
        <v>20</v>
      </c>
      <c r="AM186" s="34">
        <f t="shared" si="158"/>
        <v>0</v>
      </c>
      <c r="AN186" s="34">
        <f t="shared" si="159"/>
        <v>1120</v>
      </c>
      <c r="AO186" s="35" t="s">
        <v>309</v>
      </c>
      <c r="AP186" s="35" t="s">
        <v>312</v>
      </c>
      <c r="AQ186" s="26" t="s">
        <v>313</v>
      </c>
    </row>
    <row r="187" spans="1:43" ht="12.75">
      <c r="A187" s="4" t="s">
        <v>165</v>
      </c>
      <c r="B187" s="4"/>
      <c r="C187" s="4" t="s">
        <v>181</v>
      </c>
      <c r="D187" s="4" t="s">
        <v>214</v>
      </c>
      <c r="E187" s="4" t="s">
        <v>260</v>
      </c>
      <c r="F187" s="17">
        <v>15.9</v>
      </c>
      <c r="G187" s="17">
        <v>530</v>
      </c>
      <c r="H187" s="17">
        <f t="shared" si="150"/>
        <v>0</v>
      </c>
      <c r="I187" s="17">
        <f t="shared" si="151"/>
        <v>8427</v>
      </c>
      <c r="J187" s="17">
        <f t="shared" si="152"/>
        <v>8427</v>
      </c>
      <c r="K187" s="17">
        <v>0</v>
      </c>
      <c r="L187" s="17">
        <f t="shared" si="153"/>
        <v>0</v>
      </c>
      <c r="M187" s="29" t="s">
        <v>280</v>
      </c>
      <c r="N187" s="29" t="s">
        <v>11</v>
      </c>
      <c r="O187" s="17">
        <f t="shared" si="154"/>
        <v>8427</v>
      </c>
      <c r="Z187" s="17">
        <f t="shared" si="155"/>
        <v>0</v>
      </c>
      <c r="AA187" s="17">
        <f t="shared" si="156"/>
        <v>0</v>
      </c>
      <c r="AB187" s="17">
        <f t="shared" si="157"/>
        <v>8427</v>
      </c>
      <c r="AD187" s="34">
        <v>21</v>
      </c>
      <c r="AE187" s="34">
        <f>G187*0</f>
        <v>0</v>
      </c>
      <c r="AF187" s="34">
        <f>G187*(1-0)</f>
        <v>530</v>
      </c>
      <c r="AM187" s="34">
        <f t="shared" si="158"/>
        <v>0</v>
      </c>
      <c r="AN187" s="34">
        <f t="shared" si="159"/>
        <v>8427</v>
      </c>
      <c r="AO187" s="35" t="s">
        <v>309</v>
      </c>
      <c r="AP187" s="35" t="s">
        <v>312</v>
      </c>
      <c r="AQ187" s="26" t="s">
        <v>313</v>
      </c>
    </row>
    <row r="188" spans="1:43" ht="12.75">
      <c r="A188" s="7" t="s">
        <v>166</v>
      </c>
      <c r="B188" s="7"/>
      <c r="C188" s="7" t="s">
        <v>182</v>
      </c>
      <c r="D188" s="7" t="s">
        <v>215</v>
      </c>
      <c r="E188" s="7" t="s">
        <v>259</v>
      </c>
      <c r="F188" s="19">
        <v>6.59</v>
      </c>
      <c r="G188" s="19">
        <v>50.6</v>
      </c>
      <c r="H188" s="19">
        <f t="shared" si="150"/>
        <v>0</v>
      </c>
      <c r="I188" s="19">
        <f t="shared" si="151"/>
        <v>333.454</v>
      </c>
      <c r="J188" s="19">
        <f t="shared" si="152"/>
        <v>333.454</v>
      </c>
      <c r="K188" s="19">
        <v>0</v>
      </c>
      <c r="L188" s="19">
        <f t="shared" si="153"/>
        <v>0</v>
      </c>
      <c r="M188" s="31" t="s">
        <v>281</v>
      </c>
      <c r="N188" s="29" t="s">
        <v>11</v>
      </c>
      <c r="O188" s="17">
        <f t="shared" si="154"/>
        <v>333.454</v>
      </c>
      <c r="Z188" s="17">
        <f t="shared" si="155"/>
        <v>0</v>
      </c>
      <c r="AA188" s="17">
        <f t="shared" si="156"/>
        <v>0</v>
      </c>
      <c r="AB188" s="17">
        <f t="shared" si="157"/>
        <v>333.454</v>
      </c>
      <c r="AD188" s="34">
        <v>21</v>
      </c>
      <c r="AE188" s="34">
        <f>G188*0</f>
        <v>0</v>
      </c>
      <c r="AF188" s="34">
        <f>G188*(1-0)</f>
        <v>50.6</v>
      </c>
      <c r="AM188" s="34">
        <f t="shared" si="158"/>
        <v>0</v>
      </c>
      <c r="AN188" s="34">
        <f t="shared" si="159"/>
        <v>333.454</v>
      </c>
      <c r="AO188" s="35" t="s">
        <v>309</v>
      </c>
      <c r="AP188" s="35" t="s">
        <v>312</v>
      </c>
      <c r="AQ188" s="26" t="s">
        <v>313</v>
      </c>
    </row>
    <row r="189" spans="1:28" ht="12.75">
      <c r="A189" s="8"/>
      <c r="B189" s="8"/>
      <c r="C189" s="8"/>
      <c r="D189" s="8"/>
      <c r="E189" s="8"/>
      <c r="F189" s="8"/>
      <c r="G189" s="8"/>
      <c r="H189" s="74" t="s">
        <v>267</v>
      </c>
      <c r="I189" s="75"/>
      <c r="J189" s="38">
        <f>J12+J25+J40+J53+J63+J76+J87+J98+J105+J112+J123+J134+J145+J156+J167+J180+J182</f>
        <v>2335180.8850000002</v>
      </c>
      <c r="K189" s="8"/>
      <c r="L189" s="8"/>
      <c r="M189" s="8"/>
      <c r="Z189" s="39">
        <f>SUM(Z13:Z188)</f>
        <v>0</v>
      </c>
      <c r="AA189" s="39">
        <f>SUM(AA13:AA188)</f>
        <v>0</v>
      </c>
      <c r="AB189" s="39">
        <f>SUM(AB13:AB188)</f>
        <v>2335180.8850000002</v>
      </c>
    </row>
    <row r="190" ht="11.25" customHeight="1">
      <c r="A190" s="9" t="s">
        <v>167</v>
      </c>
    </row>
    <row r="191" spans="1:13" ht="409.5" customHeight="1" hidden="1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</sheetData>
  <sheetProtection/>
  <mergeCells count="46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25:G25"/>
    <mergeCell ref="D40:G40"/>
    <mergeCell ref="D53:G53"/>
    <mergeCell ref="D63:G63"/>
    <mergeCell ref="D76:G76"/>
    <mergeCell ref="D87:G87"/>
    <mergeCell ref="D98:G98"/>
    <mergeCell ref="D105:G105"/>
    <mergeCell ref="D112:G112"/>
    <mergeCell ref="D182:G182"/>
    <mergeCell ref="H189:I189"/>
    <mergeCell ref="A191:M191"/>
    <mergeCell ref="D123:G123"/>
    <mergeCell ref="D134:G134"/>
    <mergeCell ref="D145:G145"/>
    <mergeCell ref="D156:G156"/>
    <mergeCell ref="D167:G167"/>
    <mergeCell ref="D180:G18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91" t="s">
        <v>318</v>
      </c>
      <c r="B1" s="92"/>
      <c r="C1" s="92"/>
      <c r="D1" s="92"/>
      <c r="E1" s="92"/>
      <c r="F1" s="92"/>
      <c r="G1" s="92"/>
    </row>
    <row r="2" spans="1:8" ht="12.75">
      <c r="A2" s="93" t="s">
        <v>1</v>
      </c>
      <c r="B2" s="95" t="s">
        <v>198</v>
      </c>
      <c r="C2" s="75"/>
      <c r="D2" s="98" t="s">
        <v>268</v>
      </c>
      <c r="E2" s="98"/>
      <c r="F2" s="94"/>
      <c r="G2" s="99"/>
      <c r="H2" s="32"/>
    </row>
    <row r="3" spans="1:8" ht="12.75">
      <c r="A3" s="90"/>
      <c r="B3" s="96"/>
      <c r="C3" s="96"/>
      <c r="D3" s="77"/>
      <c r="E3" s="77"/>
      <c r="F3" s="77"/>
      <c r="G3" s="88"/>
      <c r="H3" s="32"/>
    </row>
    <row r="4" spans="1:8" ht="12.75">
      <c r="A4" s="83" t="s">
        <v>2</v>
      </c>
      <c r="B4" s="76" t="s">
        <v>199</v>
      </c>
      <c r="C4" s="77"/>
      <c r="D4" s="76" t="s">
        <v>269</v>
      </c>
      <c r="E4" s="76"/>
      <c r="F4" s="77"/>
      <c r="G4" s="88"/>
      <c r="H4" s="32"/>
    </row>
    <row r="5" spans="1:8" ht="12.75">
      <c r="A5" s="90"/>
      <c r="B5" s="77"/>
      <c r="C5" s="77"/>
      <c r="D5" s="77"/>
      <c r="E5" s="77"/>
      <c r="F5" s="77"/>
      <c r="G5" s="88"/>
      <c r="H5" s="32"/>
    </row>
    <row r="6" spans="1:8" ht="12.75">
      <c r="A6" s="83" t="s">
        <v>3</v>
      </c>
      <c r="B6" s="76" t="s">
        <v>200</v>
      </c>
      <c r="C6" s="77"/>
      <c r="D6" s="76" t="s">
        <v>270</v>
      </c>
      <c r="E6" s="76" t="s">
        <v>273</v>
      </c>
      <c r="F6" s="77"/>
      <c r="G6" s="88"/>
      <c r="H6" s="32"/>
    </row>
    <row r="7" spans="1:8" ht="12.75">
      <c r="A7" s="90"/>
      <c r="B7" s="77"/>
      <c r="C7" s="77"/>
      <c r="D7" s="77"/>
      <c r="E7" s="77"/>
      <c r="F7" s="77"/>
      <c r="G7" s="88"/>
      <c r="H7" s="32"/>
    </row>
    <row r="8" spans="1:8" ht="12.75">
      <c r="A8" s="83" t="s">
        <v>271</v>
      </c>
      <c r="B8" s="76" t="s">
        <v>274</v>
      </c>
      <c r="C8" s="77"/>
      <c r="D8" s="86" t="s">
        <v>253</v>
      </c>
      <c r="E8" s="87">
        <v>42314</v>
      </c>
      <c r="F8" s="77"/>
      <c r="G8" s="88"/>
      <c r="H8" s="32"/>
    </row>
    <row r="9" spans="1:8" ht="12.75">
      <c r="A9" s="84"/>
      <c r="B9" s="85"/>
      <c r="C9" s="85"/>
      <c r="D9" s="85"/>
      <c r="E9" s="85"/>
      <c r="F9" s="85"/>
      <c r="G9" s="89"/>
      <c r="H9" s="32"/>
    </row>
    <row r="10" spans="1:8" ht="12.75">
      <c r="A10" s="48" t="s">
        <v>168</v>
      </c>
      <c r="B10" s="44" t="s">
        <v>169</v>
      </c>
      <c r="C10" s="50" t="s">
        <v>201</v>
      </c>
      <c r="D10" s="51" t="s">
        <v>319</v>
      </c>
      <c r="E10" s="51" t="s">
        <v>320</v>
      </c>
      <c r="F10" s="51" t="s">
        <v>321</v>
      </c>
      <c r="G10" s="53" t="s">
        <v>322</v>
      </c>
      <c r="H10" s="33"/>
    </row>
    <row r="11" spans="1:9" ht="12.75">
      <c r="A11" s="49"/>
      <c r="B11" s="49" t="s">
        <v>170</v>
      </c>
      <c r="C11" s="49" t="s">
        <v>203</v>
      </c>
      <c r="D11" s="52">
        <v>16210.1961</v>
      </c>
      <c r="E11" s="52">
        <v>19462.9264</v>
      </c>
      <c r="F11" s="52">
        <f aca="true" t="shared" si="0" ref="F11:F27">D11+E11</f>
        <v>35673.1225</v>
      </c>
      <c r="G11" s="52">
        <v>34.42059</v>
      </c>
      <c r="H11" s="34" t="s">
        <v>323</v>
      </c>
      <c r="I11" s="34">
        <f aca="true" t="shared" si="1" ref="I11:I27">IF(H11="T",0,F11)</f>
        <v>35673.1225</v>
      </c>
    </row>
    <row r="12" spans="1:9" ht="12.75">
      <c r="A12" s="15"/>
      <c r="B12" s="15" t="s">
        <v>183</v>
      </c>
      <c r="C12" s="15" t="s">
        <v>216</v>
      </c>
      <c r="D12" s="34">
        <v>221148.0412</v>
      </c>
      <c r="E12" s="34">
        <v>150723.8548</v>
      </c>
      <c r="F12" s="34">
        <f t="shared" si="0"/>
        <v>371871.896</v>
      </c>
      <c r="G12" s="34">
        <v>354.06448</v>
      </c>
      <c r="H12" s="34" t="s">
        <v>323</v>
      </c>
      <c r="I12" s="34">
        <f t="shared" si="1"/>
        <v>371871.896</v>
      </c>
    </row>
    <row r="13" spans="1:9" ht="12.75">
      <c r="A13" s="15"/>
      <c r="B13" s="15" t="s">
        <v>187</v>
      </c>
      <c r="C13" s="15" t="s">
        <v>222</v>
      </c>
      <c r="D13" s="34">
        <v>37286.8765</v>
      </c>
      <c r="E13" s="34">
        <v>36628.196</v>
      </c>
      <c r="F13" s="34">
        <f t="shared" si="0"/>
        <v>73915.07250000001</v>
      </c>
      <c r="G13" s="34">
        <v>66.53414</v>
      </c>
      <c r="H13" s="34" t="s">
        <v>323</v>
      </c>
      <c r="I13" s="34">
        <f t="shared" si="1"/>
        <v>73915.07250000001</v>
      </c>
    </row>
    <row r="14" spans="1:9" ht="12.75">
      <c r="A14" s="15"/>
      <c r="B14" s="15" t="s">
        <v>188</v>
      </c>
      <c r="C14" s="15" t="s">
        <v>223</v>
      </c>
      <c r="D14" s="34">
        <v>578020.6752</v>
      </c>
      <c r="E14" s="34">
        <v>348934.0508</v>
      </c>
      <c r="F14" s="34">
        <f t="shared" si="0"/>
        <v>926954.726</v>
      </c>
      <c r="G14" s="34">
        <v>546.54672</v>
      </c>
      <c r="H14" s="34" t="s">
        <v>323</v>
      </c>
      <c r="I14" s="34">
        <f t="shared" si="1"/>
        <v>926954.726</v>
      </c>
    </row>
    <row r="15" spans="1:9" ht="12.75">
      <c r="A15" s="15"/>
      <c r="B15" s="15" t="s">
        <v>192</v>
      </c>
      <c r="C15" s="15" t="s">
        <v>229</v>
      </c>
      <c r="D15" s="34">
        <v>33448.1772</v>
      </c>
      <c r="E15" s="34">
        <v>36097.1308</v>
      </c>
      <c r="F15" s="34">
        <f t="shared" si="0"/>
        <v>69545.30799999999</v>
      </c>
      <c r="G15" s="34">
        <v>72.10266</v>
      </c>
      <c r="H15" s="34" t="s">
        <v>323</v>
      </c>
      <c r="I15" s="34">
        <f t="shared" si="1"/>
        <v>69545.30799999999</v>
      </c>
    </row>
    <row r="16" spans="1:9" ht="12.75">
      <c r="A16" s="15"/>
      <c r="B16" s="15" t="s">
        <v>193</v>
      </c>
      <c r="C16" s="15" t="s">
        <v>230</v>
      </c>
      <c r="D16" s="34">
        <v>69476.188</v>
      </c>
      <c r="E16" s="34">
        <v>122895.074</v>
      </c>
      <c r="F16" s="34">
        <f t="shared" si="0"/>
        <v>192371.262</v>
      </c>
      <c r="G16" s="34">
        <v>223.73472</v>
      </c>
      <c r="H16" s="34" t="s">
        <v>323</v>
      </c>
      <c r="I16" s="34">
        <f t="shared" si="1"/>
        <v>192371.262</v>
      </c>
    </row>
    <row r="17" spans="1:9" ht="12.75">
      <c r="A17" s="15"/>
      <c r="B17" s="15" t="s">
        <v>16</v>
      </c>
      <c r="C17" s="15" t="s">
        <v>234</v>
      </c>
      <c r="D17" s="34">
        <v>17250.84</v>
      </c>
      <c r="E17" s="34">
        <v>28850.83</v>
      </c>
      <c r="F17" s="34">
        <f t="shared" si="0"/>
        <v>46101.67</v>
      </c>
      <c r="G17" s="34">
        <v>57.29532</v>
      </c>
      <c r="H17" s="34" t="s">
        <v>323</v>
      </c>
      <c r="I17" s="34">
        <f t="shared" si="1"/>
        <v>46101.67</v>
      </c>
    </row>
    <row r="18" spans="1:9" ht="12.75">
      <c r="A18" s="15"/>
      <c r="B18" s="15" t="s">
        <v>17</v>
      </c>
      <c r="C18" s="15" t="s">
        <v>236</v>
      </c>
      <c r="D18" s="34">
        <v>5376.87</v>
      </c>
      <c r="E18" s="34">
        <v>18236.202</v>
      </c>
      <c r="F18" s="34">
        <f t="shared" si="0"/>
        <v>23613.072</v>
      </c>
      <c r="G18" s="34">
        <v>26.04</v>
      </c>
      <c r="H18" s="34" t="s">
        <v>323</v>
      </c>
      <c r="I18" s="34">
        <f t="shared" si="1"/>
        <v>23613.072</v>
      </c>
    </row>
    <row r="19" spans="1:9" ht="12.75">
      <c r="A19" s="15"/>
      <c r="B19" s="15" t="s">
        <v>18</v>
      </c>
      <c r="C19" s="15" t="s">
        <v>238</v>
      </c>
      <c r="D19" s="34">
        <v>8244.534</v>
      </c>
      <c r="E19" s="34">
        <v>27961.974</v>
      </c>
      <c r="F19" s="34">
        <f t="shared" si="0"/>
        <v>36206.508</v>
      </c>
      <c r="G19" s="34">
        <v>39.928</v>
      </c>
      <c r="H19" s="34" t="s">
        <v>323</v>
      </c>
      <c r="I19" s="34">
        <f t="shared" si="1"/>
        <v>36206.508</v>
      </c>
    </row>
    <row r="20" spans="1:9" ht="12.75">
      <c r="A20" s="15"/>
      <c r="B20" s="15" t="s">
        <v>19</v>
      </c>
      <c r="C20" s="15" t="s">
        <v>239</v>
      </c>
      <c r="D20" s="34">
        <v>43469.4424</v>
      </c>
      <c r="E20" s="34">
        <v>63034.2156</v>
      </c>
      <c r="F20" s="34">
        <f t="shared" si="0"/>
        <v>106503.658</v>
      </c>
      <c r="G20" s="34">
        <v>134.77019</v>
      </c>
      <c r="H20" s="34" t="s">
        <v>323</v>
      </c>
      <c r="I20" s="34">
        <f t="shared" si="1"/>
        <v>106503.658</v>
      </c>
    </row>
    <row r="21" spans="1:9" ht="12.75">
      <c r="A21" s="15"/>
      <c r="B21" s="15" t="s">
        <v>20</v>
      </c>
      <c r="C21" s="15" t="s">
        <v>241</v>
      </c>
      <c r="D21" s="34">
        <v>57705.236</v>
      </c>
      <c r="E21" s="34">
        <v>91643.326</v>
      </c>
      <c r="F21" s="34">
        <f t="shared" si="0"/>
        <v>149348.562</v>
      </c>
      <c r="G21" s="34">
        <v>187.30816</v>
      </c>
      <c r="H21" s="34" t="s">
        <v>323</v>
      </c>
      <c r="I21" s="34">
        <f t="shared" si="1"/>
        <v>149348.562</v>
      </c>
    </row>
    <row r="22" spans="1:9" ht="12.75">
      <c r="A22" s="15"/>
      <c r="B22" s="15" t="s">
        <v>21</v>
      </c>
      <c r="C22" s="15" t="s">
        <v>242</v>
      </c>
      <c r="D22" s="34">
        <v>28751.4</v>
      </c>
      <c r="E22" s="34">
        <v>47714.854</v>
      </c>
      <c r="F22" s="34">
        <f t="shared" si="0"/>
        <v>76466.254</v>
      </c>
      <c r="G22" s="34">
        <v>95.4922</v>
      </c>
      <c r="H22" s="34" t="s">
        <v>323</v>
      </c>
      <c r="I22" s="34">
        <f t="shared" si="1"/>
        <v>76466.254</v>
      </c>
    </row>
    <row r="23" spans="1:9" ht="12.75">
      <c r="A23" s="15"/>
      <c r="B23" s="15" t="s">
        <v>22</v>
      </c>
      <c r="C23" s="15" t="s">
        <v>243</v>
      </c>
      <c r="D23" s="34">
        <v>25298.29</v>
      </c>
      <c r="E23" s="34">
        <v>42110.146</v>
      </c>
      <c r="F23" s="34">
        <f t="shared" si="0"/>
        <v>67408.436</v>
      </c>
      <c r="G23" s="34">
        <v>84.26603</v>
      </c>
      <c r="H23" s="34" t="s">
        <v>323</v>
      </c>
      <c r="I23" s="34">
        <f t="shared" si="1"/>
        <v>67408.436</v>
      </c>
    </row>
    <row r="24" spans="1:9" ht="12.75">
      <c r="A24" s="15"/>
      <c r="B24" s="15" t="s">
        <v>23</v>
      </c>
      <c r="C24" s="15" t="s">
        <v>244</v>
      </c>
      <c r="D24" s="34">
        <v>26585.52</v>
      </c>
      <c r="E24" s="34">
        <v>44220.688</v>
      </c>
      <c r="F24" s="34">
        <f t="shared" si="0"/>
        <v>70806.208</v>
      </c>
      <c r="G24" s="34">
        <v>88.8364</v>
      </c>
      <c r="H24" s="34" t="s">
        <v>323</v>
      </c>
      <c r="I24" s="34">
        <f t="shared" si="1"/>
        <v>70806.208</v>
      </c>
    </row>
    <row r="25" spans="1:9" ht="12.75">
      <c r="A25" s="15"/>
      <c r="B25" s="15" t="s">
        <v>24</v>
      </c>
      <c r="C25" s="15" t="s">
        <v>245</v>
      </c>
      <c r="D25" s="34">
        <v>7869.3608</v>
      </c>
      <c r="E25" s="34">
        <v>23974.3152</v>
      </c>
      <c r="F25" s="34">
        <f t="shared" si="0"/>
        <v>31843.676</v>
      </c>
      <c r="G25" s="34">
        <v>15.61165</v>
      </c>
      <c r="H25" s="34" t="s">
        <v>323</v>
      </c>
      <c r="I25" s="34">
        <f t="shared" si="1"/>
        <v>31843.676</v>
      </c>
    </row>
    <row r="26" spans="1:9" ht="12.75">
      <c r="A26" s="15"/>
      <c r="B26" s="15" t="s">
        <v>25</v>
      </c>
      <c r="C26" s="15" t="s">
        <v>247</v>
      </c>
      <c r="D26" s="34">
        <v>14940.24</v>
      </c>
      <c r="E26" s="34">
        <v>17539.76</v>
      </c>
      <c r="F26" s="34">
        <f t="shared" si="0"/>
        <v>32480</v>
      </c>
      <c r="G26" s="34">
        <v>22.63632</v>
      </c>
      <c r="H26" s="34" t="s">
        <v>323</v>
      </c>
      <c r="I26" s="34">
        <f t="shared" si="1"/>
        <v>32480</v>
      </c>
    </row>
    <row r="27" spans="1:9" ht="12.75">
      <c r="A27" s="15"/>
      <c r="B27" s="15" t="s">
        <v>26</v>
      </c>
      <c r="C27" s="15" t="s">
        <v>249</v>
      </c>
      <c r="D27" s="34">
        <v>5374</v>
      </c>
      <c r="E27" s="34">
        <v>18697.454</v>
      </c>
      <c r="F27" s="34">
        <f t="shared" si="0"/>
        <v>24071.454</v>
      </c>
      <c r="G27" s="34">
        <v>25.99</v>
      </c>
      <c r="H27" s="34" t="s">
        <v>323</v>
      </c>
      <c r="I27" s="34">
        <f t="shared" si="1"/>
        <v>24071.454</v>
      </c>
    </row>
    <row r="29" spans="5:6" ht="12.75">
      <c r="E29" s="43" t="s">
        <v>267</v>
      </c>
      <c r="F29" s="39">
        <f>SUM(I11:I27)</f>
        <v>2335180.8850000002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4"/>
  <sheetViews>
    <sheetView tabSelected="1" zoomScalePageLayoutView="0" workbookViewId="0" topLeftCell="B13">
      <selection activeCell="Y58" sqref="Y58"/>
    </sheetView>
  </sheetViews>
  <sheetFormatPr defaultColWidth="11.57421875" defaultRowHeight="12.75"/>
  <cols>
    <col min="1" max="1" width="5.00390625" style="0" customWidth="1"/>
    <col min="2" max="2" width="7.7109375" style="0" customWidth="1"/>
    <col min="3" max="3" width="15.00390625" style="0" customWidth="1"/>
    <col min="4" max="4" width="65.140625" style="0" customWidth="1"/>
    <col min="5" max="5" width="11.00390625" style="0" customWidth="1"/>
    <col min="6" max="6" width="10.140625" style="0" customWidth="1"/>
    <col min="7" max="7" width="20.00390625" style="0" customWidth="1"/>
    <col min="8" max="8" width="19.28125" style="0" customWidth="1"/>
    <col min="9" max="9" width="21.57421875" style="0" customWidth="1"/>
    <col min="10" max="10" width="18.57421875" style="0" customWidth="1"/>
    <col min="11" max="11" width="11.57421875" style="58" hidden="1" customWidth="1"/>
    <col min="12" max="14" width="11.57421875" style="0" hidden="1" customWidth="1"/>
    <col min="15" max="15" width="11.57421875" style="56" hidden="1" customWidth="1"/>
    <col min="16" max="19" width="11.57421875" style="0" hidden="1" customWidth="1"/>
    <col min="20" max="21" width="0" style="0" hidden="1" customWidth="1"/>
    <col min="22" max="22" width="1.7109375" style="0" customWidth="1"/>
    <col min="23" max="23" width="13.7109375" style="63" customWidth="1"/>
    <col min="24" max="30" width="11.57421875" style="0" customWidth="1"/>
    <col min="31" max="32" width="12.140625" style="0" hidden="1" customWidth="1"/>
  </cols>
  <sheetData>
    <row r="1" spans="1:11" ht="30">
      <c r="A1" s="55"/>
      <c r="B1" s="54"/>
      <c r="C1" s="106" t="s">
        <v>0</v>
      </c>
      <c r="D1" s="107"/>
      <c r="E1" s="107"/>
      <c r="F1" s="107"/>
      <c r="G1" s="107"/>
      <c r="H1" s="107"/>
      <c r="I1" s="107"/>
      <c r="K1" s="32"/>
    </row>
    <row r="2" spans="1:10" ht="12.75">
      <c r="A2" s="93" t="s">
        <v>1</v>
      </c>
      <c r="B2" s="94"/>
      <c r="C2" s="95" t="s">
        <v>385</v>
      </c>
      <c r="D2" s="75"/>
      <c r="E2" s="98" t="s">
        <v>268</v>
      </c>
      <c r="F2" s="108" t="s">
        <v>403</v>
      </c>
      <c r="G2" s="94"/>
      <c r="H2" s="98" t="s">
        <v>325</v>
      </c>
      <c r="I2" s="97"/>
      <c r="J2" s="100"/>
    </row>
    <row r="3" spans="1:32" ht="12.75">
      <c r="A3" s="90"/>
      <c r="B3" s="77"/>
      <c r="C3" s="96"/>
      <c r="D3" s="96"/>
      <c r="E3" s="77"/>
      <c r="F3" s="77"/>
      <c r="G3" s="77"/>
      <c r="H3" s="77"/>
      <c r="I3" s="77"/>
      <c r="J3" s="101"/>
      <c r="AE3" s="46" t="e">
        <f>#REF!*0.0185161290322581</f>
        <v>#REF!</v>
      </c>
      <c r="AF3" s="46" t="e">
        <f>#REF!*(1-0.0185161290322581)</f>
        <v>#REF!</v>
      </c>
    </row>
    <row r="4" spans="1:32" ht="12.75">
      <c r="A4" s="83" t="s">
        <v>2</v>
      </c>
      <c r="B4" s="77"/>
      <c r="C4" s="76" t="s">
        <v>199</v>
      </c>
      <c r="D4" s="77"/>
      <c r="E4" s="76" t="s">
        <v>269</v>
      </c>
      <c r="F4" s="76" t="s">
        <v>386</v>
      </c>
      <c r="G4" s="77"/>
      <c r="H4" s="76" t="s">
        <v>325</v>
      </c>
      <c r="I4" s="86"/>
      <c r="J4" s="101"/>
      <c r="AE4" s="46" t="e">
        <f>#REF!*0</f>
        <v>#REF!</v>
      </c>
      <c r="AF4" s="46" t="e">
        <f>#REF!*(1-0)</f>
        <v>#REF!</v>
      </c>
    </row>
    <row r="5" spans="1:32" ht="12.75">
      <c r="A5" s="90"/>
      <c r="B5" s="77"/>
      <c r="C5" s="77"/>
      <c r="D5" s="77"/>
      <c r="E5" s="77"/>
      <c r="F5" s="77"/>
      <c r="G5" s="77"/>
      <c r="H5" s="77"/>
      <c r="I5" s="77"/>
      <c r="J5" s="101"/>
      <c r="AE5" s="46" t="e">
        <f>#REF!*0</f>
        <v>#REF!</v>
      </c>
      <c r="AF5" s="46" t="e">
        <f>#REF!*(1-0)</f>
        <v>#REF!</v>
      </c>
    </row>
    <row r="6" spans="1:32" ht="12.75">
      <c r="A6" s="83" t="s">
        <v>3</v>
      </c>
      <c r="B6" s="77"/>
      <c r="C6" s="76" t="s">
        <v>200</v>
      </c>
      <c r="D6" s="77"/>
      <c r="E6" s="76" t="s">
        <v>270</v>
      </c>
      <c r="F6" s="76"/>
      <c r="G6" s="77"/>
      <c r="H6" s="76" t="s">
        <v>325</v>
      </c>
      <c r="I6" s="86"/>
      <c r="J6" s="101"/>
      <c r="AE6" s="46" t="e">
        <f>#REF!*0.843498168498168</f>
        <v>#REF!</v>
      </c>
      <c r="AF6" s="46" t="e">
        <f>#REF!*(1-0.843498168498168)</f>
        <v>#REF!</v>
      </c>
    </row>
    <row r="7" spans="1:32" ht="12.75">
      <c r="A7" s="90"/>
      <c r="B7" s="77"/>
      <c r="C7" s="77"/>
      <c r="D7" s="77"/>
      <c r="E7" s="77"/>
      <c r="F7" s="77"/>
      <c r="G7" s="77"/>
      <c r="H7" s="77"/>
      <c r="I7" s="77"/>
      <c r="J7" s="101"/>
      <c r="AE7" s="46" t="e">
        <f>#REF!*0.637759103641456</f>
        <v>#REF!</v>
      </c>
      <c r="AF7" s="46" t="e">
        <f>#REF!*(1-0.637759103641456)</f>
        <v>#REF!</v>
      </c>
    </row>
    <row r="8" spans="1:32" ht="12.75">
      <c r="A8" s="83" t="s">
        <v>251</v>
      </c>
      <c r="B8" s="77"/>
      <c r="C8" s="87"/>
      <c r="D8" s="77"/>
      <c r="E8" s="76" t="s">
        <v>252</v>
      </c>
      <c r="F8" s="87"/>
      <c r="G8" s="77"/>
      <c r="H8" s="86" t="s">
        <v>326</v>
      </c>
      <c r="I8" s="105" t="s">
        <v>402</v>
      </c>
      <c r="J8" s="101"/>
      <c r="AE8" s="47" t="e">
        <f>#REF!*1</f>
        <v>#REF!</v>
      </c>
      <c r="AF8" s="47" t="e">
        <f>#REF!*(1-1)</f>
        <v>#REF!</v>
      </c>
    </row>
    <row r="9" spans="1:32" ht="12.75">
      <c r="A9" s="90"/>
      <c r="B9" s="77"/>
      <c r="C9" s="77"/>
      <c r="D9" s="77"/>
      <c r="E9" s="77"/>
      <c r="F9" s="77"/>
      <c r="G9" s="77"/>
      <c r="H9" s="77"/>
      <c r="I9" s="77"/>
      <c r="J9" s="101"/>
      <c r="AE9" s="46" t="e">
        <f>#REF!*0.840347130434782</f>
        <v>#REF!</v>
      </c>
      <c r="AF9" s="46" t="e">
        <f>#REF!*(1-0.840347130434782)</f>
        <v>#REF!</v>
      </c>
    </row>
    <row r="10" spans="1:32" ht="12.75">
      <c r="A10" s="83" t="s">
        <v>4</v>
      </c>
      <c r="B10" s="77"/>
      <c r="C10" s="76"/>
      <c r="D10" s="77"/>
      <c r="E10" s="76" t="s">
        <v>271</v>
      </c>
      <c r="F10" s="76"/>
      <c r="G10" s="77"/>
      <c r="H10" s="86" t="s">
        <v>327</v>
      </c>
      <c r="I10" s="87"/>
      <c r="J10" s="101"/>
      <c r="AE10" s="46" t="e">
        <f>#REF!*0.582093425605536</f>
        <v>#REF!</v>
      </c>
      <c r="AF10" s="46" t="e">
        <f>#REF!*(1-0.582093425605536)</f>
        <v>#REF!</v>
      </c>
    </row>
    <row r="11" spans="1:32" ht="13.5" thickBot="1">
      <c r="A11" s="103"/>
      <c r="B11" s="104"/>
      <c r="C11" s="104"/>
      <c r="D11" s="104"/>
      <c r="E11" s="104"/>
      <c r="F11" s="104"/>
      <c r="G11" s="104"/>
      <c r="H11" s="104"/>
      <c r="I11" s="104"/>
      <c r="J11" s="102"/>
      <c r="AE11" s="46" t="e">
        <f>#REF!*0.12102454642476</f>
        <v>#REF!</v>
      </c>
      <c r="AF11" s="46" t="e">
        <f>#REF!*(1-0.12102454642476)</f>
        <v>#REF!</v>
      </c>
    </row>
    <row r="12" spans="1:32" ht="13.5" thickBot="1">
      <c r="A12" s="40" t="s">
        <v>5</v>
      </c>
      <c r="B12" s="40" t="s">
        <v>168</v>
      </c>
      <c r="C12" s="40" t="s">
        <v>169</v>
      </c>
      <c r="D12" s="40" t="s">
        <v>201</v>
      </c>
      <c r="E12" s="40" t="s">
        <v>254</v>
      </c>
      <c r="F12" s="40" t="s">
        <v>261</v>
      </c>
      <c r="G12" s="40" t="s">
        <v>314</v>
      </c>
      <c r="H12" s="40" t="s">
        <v>315</v>
      </c>
      <c r="I12" s="40" t="s">
        <v>316</v>
      </c>
      <c r="J12" s="44" t="s">
        <v>317</v>
      </c>
      <c r="AE12" s="46" t="e">
        <f>#REF!*0.697675675675676</f>
        <v>#REF!</v>
      </c>
      <c r="AF12" s="46" t="e">
        <f>#REF!*(1-0.697675675675676)</f>
        <v>#REF!</v>
      </c>
    </row>
    <row r="13" spans="1:32" ht="12.75">
      <c r="A13" s="41" t="s">
        <v>6</v>
      </c>
      <c r="B13" s="59" t="s">
        <v>365</v>
      </c>
      <c r="C13" s="41"/>
      <c r="D13" s="59" t="s">
        <v>404</v>
      </c>
      <c r="E13" s="41" t="s">
        <v>6</v>
      </c>
      <c r="F13" s="41" t="s">
        <v>6</v>
      </c>
      <c r="G13" s="62"/>
      <c r="H13" s="45">
        <f>SUM(H14:H22)</f>
        <v>0</v>
      </c>
      <c r="I13" s="42" t="s">
        <v>6</v>
      </c>
      <c r="J13" s="45">
        <f>SUM(J14:J22)</f>
        <v>77.193984</v>
      </c>
      <c r="W13" s="67"/>
      <c r="X13" s="58"/>
      <c r="AE13" s="46">
        <f>G22*0</f>
        <v>0</v>
      </c>
      <c r="AF13" s="46">
        <f>G22*(1-0)</f>
        <v>0</v>
      </c>
    </row>
    <row r="14" spans="1:23" s="58" customFormat="1" ht="12.75">
      <c r="A14" s="57" t="s">
        <v>90</v>
      </c>
      <c r="B14" s="4"/>
      <c r="C14" s="4" t="s">
        <v>377</v>
      </c>
      <c r="D14" s="57" t="s">
        <v>376</v>
      </c>
      <c r="E14" s="4" t="s">
        <v>255</v>
      </c>
      <c r="F14" s="17">
        <v>76.8</v>
      </c>
      <c r="G14" s="68">
        <v>0</v>
      </c>
      <c r="H14" s="17">
        <f>PRODUCT(F14:G14)</f>
        <v>0</v>
      </c>
      <c r="I14" s="17">
        <v>0.268</v>
      </c>
      <c r="J14" s="17">
        <f aca="true" t="shared" si="0" ref="J14:J22">I14*F14</f>
        <v>20.5824</v>
      </c>
      <c r="O14" s="66"/>
      <c r="W14" s="61"/>
    </row>
    <row r="15" spans="1:32" s="58" customFormat="1" ht="12.75">
      <c r="A15" s="57">
        <f aca="true" t="shared" si="1" ref="A15:A22">A14+1</f>
        <v>85</v>
      </c>
      <c r="B15" s="4"/>
      <c r="C15" s="4" t="s">
        <v>172</v>
      </c>
      <c r="D15" s="4" t="s">
        <v>205</v>
      </c>
      <c r="E15" s="4" t="s">
        <v>256</v>
      </c>
      <c r="F15" s="17">
        <v>192</v>
      </c>
      <c r="G15" s="68">
        <v>0</v>
      </c>
      <c r="H15" s="17">
        <f>F15*G15</f>
        <v>0</v>
      </c>
      <c r="I15" s="17">
        <v>0.017</v>
      </c>
      <c r="J15" s="17">
        <f t="shared" si="0"/>
        <v>3.2640000000000002</v>
      </c>
      <c r="O15" s="66"/>
      <c r="W15" s="61"/>
      <c r="AE15" s="46" t="e">
        <f>#REF!*0.01825</f>
        <v>#REF!</v>
      </c>
      <c r="AF15" s="46" t="e">
        <f>#REF!*(1-0.01825)</f>
        <v>#REF!</v>
      </c>
    </row>
    <row r="16" spans="1:32" s="58" customFormat="1" ht="12.75">
      <c r="A16" s="57">
        <f t="shared" si="1"/>
        <v>86</v>
      </c>
      <c r="B16" s="4"/>
      <c r="C16" s="4" t="s">
        <v>186</v>
      </c>
      <c r="D16" s="4" t="s">
        <v>334</v>
      </c>
      <c r="E16" s="4" t="s">
        <v>255</v>
      </c>
      <c r="F16" s="17">
        <v>76.8</v>
      </c>
      <c r="G16" s="68">
        <v>0</v>
      </c>
      <c r="H16" s="17">
        <f aca="true" t="shared" si="2" ref="H16:H21">F16*G16</f>
        <v>0</v>
      </c>
      <c r="I16" s="17">
        <v>0.18907</v>
      </c>
      <c r="J16" s="17">
        <f t="shared" si="0"/>
        <v>14.520575999999998</v>
      </c>
      <c r="O16" s="66"/>
      <c r="W16" s="61"/>
      <c r="AE16" s="46" t="e">
        <f>#REF!*0</f>
        <v>#REF!</v>
      </c>
      <c r="AF16" s="46" t="e">
        <f>#REF!*(1-0)</f>
        <v>#REF!</v>
      </c>
    </row>
    <row r="17" spans="1:32" s="58" customFormat="1" ht="12.75">
      <c r="A17" s="57">
        <f t="shared" si="1"/>
        <v>87</v>
      </c>
      <c r="B17" s="4"/>
      <c r="C17" s="4" t="s">
        <v>378</v>
      </c>
      <c r="D17" s="4" t="s">
        <v>379</v>
      </c>
      <c r="E17" s="57" t="s">
        <v>255</v>
      </c>
      <c r="F17" s="17">
        <v>76.8</v>
      </c>
      <c r="G17" s="68">
        <v>0</v>
      </c>
      <c r="H17" s="17">
        <f t="shared" si="2"/>
        <v>0</v>
      </c>
      <c r="I17" s="17">
        <v>0.25336</v>
      </c>
      <c r="J17" s="17">
        <f t="shared" si="0"/>
        <v>19.458047999999998</v>
      </c>
      <c r="O17" s="66"/>
      <c r="W17" s="61"/>
      <c r="AE17" s="46" t="e">
        <f>#REF!*0.854598825831703</f>
        <v>#REF!</v>
      </c>
      <c r="AF17" s="46" t="e">
        <f>#REF!*(1-0.854598825831703)</f>
        <v>#REF!</v>
      </c>
    </row>
    <row r="18" spans="1:32" s="58" customFormat="1" ht="12.75">
      <c r="A18" s="57">
        <f t="shared" si="1"/>
        <v>88</v>
      </c>
      <c r="B18" s="4"/>
      <c r="C18" s="4" t="s">
        <v>345</v>
      </c>
      <c r="D18" s="4" t="s">
        <v>346</v>
      </c>
      <c r="E18" s="57" t="s">
        <v>255</v>
      </c>
      <c r="F18" s="17">
        <v>76.8</v>
      </c>
      <c r="G18" s="68">
        <v>0</v>
      </c>
      <c r="H18" s="17">
        <f t="shared" si="2"/>
        <v>0</v>
      </c>
      <c r="I18" s="17">
        <v>0.16848</v>
      </c>
      <c r="J18" s="17">
        <f t="shared" si="0"/>
        <v>12.939264</v>
      </c>
      <c r="O18" s="66"/>
      <c r="W18" s="61"/>
      <c r="AE18" s="46"/>
      <c r="AF18" s="46"/>
    </row>
    <row r="19" spans="1:32" s="58" customFormat="1" ht="12.75">
      <c r="A19" s="57">
        <f t="shared" si="1"/>
        <v>89</v>
      </c>
      <c r="B19" s="4"/>
      <c r="C19" s="4" t="s">
        <v>347</v>
      </c>
      <c r="D19" s="57" t="s">
        <v>380</v>
      </c>
      <c r="E19" s="57" t="s">
        <v>255</v>
      </c>
      <c r="F19" s="17">
        <f>15.36*1.05</f>
        <v>16.128</v>
      </c>
      <c r="G19" s="68">
        <v>0</v>
      </c>
      <c r="H19" s="17">
        <f t="shared" si="2"/>
        <v>0</v>
      </c>
      <c r="I19" s="17">
        <f>0.5*0.157333333333333</f>
        <v>0.0786666666666665</v>
      </c>
      <c r="J19" s="17">
        <f>I19*F19</f>
        <v>1.2687359999999972</v>
      </c>
      <c r="O19" s="66"/>
      <c r="W19" s="61"/>
      <c r="AE19" s="46"/>
      <c r="AF19" s="46"/>
    </row>
    <row r="20" spans="1:32" s="58" customFormat="1" ht="12.75">
      <c r="A20" s="57">
        <f t="shared" si="1"/>
        <v>90</v>
      </c>
      <c r="B20" s="4"/>
      <c r="C20" s="4" t="s">
        <v>348</v>
      </c>
      <c r="D20" s="57" t="s">
        <v>381</v>
      </c>
      <c r="E20" s="57" t="s">
        <v>255</v>
      </c>
      <c r="F20" s="17">
        <f>61.44*1.05</f>
        <v>64.512</v>
      </c>
      <c r="G20" s="68">
        <v>0</v>
      </c>
      <c r="H20" s="17">
        <f t="shared" si="2"/>
        <v>0</v>
      </c>
      <c r="I20" s="17">
        <v>0.08</v>
      </c>
      <c r="J20" s="17">
        <f t="shared" si="0"/>
        <v>5.16096</v>
      </c>
      <c r="O20" s="66"/>
      <c r="W20" s="61"/>
      <c r="AE20" s="46"/>
      <c r="AF20" s="46"/>
    </row>
    <row r="21" spans="1:23" s="58" customFormat="1" ht="12.75">
      <c r="A21" s="57">
        <f t="shared" si="1"/>
        <v>91</v>
      </c>
      <c r="B21" s="4"/>
      <c r="C21" s="4" t="s">
        <v>181</v>
      </c>
      <c r="D21" s="4" t="s">
        <v>214</v>
      </c>
      <c r="E21" s="4" t="s">
        <v>259</v>
      </c>
      <c r="F21" s="17">
        <v>23.85</v>
      </c>
      <c r="G21" s="68">
        <v>0</v>
      </c>
      <c r="H21" s="17">
        <f t="shared" si="2"/>
        <v>0</v>
      </c>
      <c r="I21" s="17">
        <v>0</v>
      </c>
      <c r="J21" s="17">
        <f t="shared" si="0"/>
        <v>0</v>
      </c>
      <c r="L21" s="58">
        <v>0.5190476190476191</v>
      </c>
      <c r="M21" s="58" t="s">
        <v>329</v>
      </c>
      <c r="O21" s="66"/>
      <c r="W21" s="61"/>
    </row>
    <row r="22" spans="1:32" s="58" customFormat="1" ht="12.75">
      <c r="A22" s="57">
        <f t="shared" si="1"/>
        <v>92</v>
      </c>
      <c r="C22" s="4" t="s">
        <v>182</v>
      </c>
      <c r="D22" s="4" t="s">
        <v>215</v>
      </c>
      <c r="E22" s="4" t="s">
        <v>259</v>
      </c>
      <c r="F22" s="17">
        <v>53.35</v>
      </c>
      <c r="G22" s="68">
        <v>0</v>
      </c>
      <c r="H22" s="17">
        <f>F22*G22</f>
        <v>0</v>
      </c>
      <c r="I22" s="17">
        <v>0</v>
      </c>
      <c r="J22" s="17">
        <f t="shared" si="0"/>
        <v>0</v>
      </c>
      <c r="O22" s="66"/>
      <c r="W22" s="61"/>
      <c r="AE22" s="46">
        <f>G54*0.0185161290322581</f>
        <v>0</v>
      </c>
      <c r="AF22" s="46">
        <f>G54*(1-0.0185161290322581)</f>
        <v>0</v>
      </c>
    </row>
    <row r="23" spans="1:32" ht="12.75">
      <c r="A23" s="41" t="s">
        <v>6</v>
      </c>
      <c r="B23" s="59" t="s">
        <v>366</v>
      </c>
      <c r="C23" s="41"/>
      <c r="D23" s="59" t="s">
        <v>405</v>
      </c>
      <c r="E23" s="41" t="s">
        <v>6</v>
      </c>
      <c r="F23" s="41" t="s">
        <v>6</v>
      </c>
      <c r="G23" s="62"/>
      <c r="H23" s="45">
        <f>SUM(H24:H35)</f>
        <v>0</v>
      </c>
      <c r="I23" s="42" t="s">
        <v>6</v>
      </c>
      <c r="J23" s="45">
        <f>SUM(J24:J35)</f>
        <v>4.493063575000001</v>
      </c>
      <c r="W23" s="67"/>
      <c r="X23" s="58"/>
      <c r="AE23" s="46"/>
      <c r="AF23" s="46"/>
    </row>
    <row r="24" spans="1:32" s="58" customFormat="1" ht="12.75">
      <c r="A24" s="57" t="s">
        <v>99</v>
      </c>
      <c r="B24" s="4"/>
      <c r="C24" s="4" t="s">
        <v>330</v>
      </c>
      <c r="D24" s="4" t="s">
        <v>331</v>
      </c>
      <c r="E24" s="4" t="s">
        <v>257</v>
      </c>
      <c r="F24" s="17">
        <v>0.5</v>
      </c>
      <c r="G24" s="68">
        <v>0</v>
      </c>
      <c r="H24" s="17">
        <f>F24*G24</f>
        <v>0</v>
      </c>
      <c r="I24" s="17">
        <v>1.6</v>
      </c>
      <c r="J24" s="17">
        <f aca="true" t="shared" si="3" ref="J24:J29">I24*F24</f>
        <v>0.8</v>
      </c>
      <c r="L24" s="58">
        <v>2.5</v>
      </c>
      <c r="M24" s="58">
        <v>0.4</v>
      </c>
      <c r="N24" s="58">
        <v>0.5</v>
      </c>
      <c r="O24" s="66">
        <f>L24*M24*N24</f>
        <v>0.5</v>
      </c>
      <c r="W24" s="61"/>
      <c r="AE24" s="46"/>
      <c r="AF24" s="46"/>
    </row>
    <row r="25" spans="1:32" s="58" customFormat="1" ht="12.75">
      <c r="A25" s="57">
        <f aca="true" t="shared" si="4" ref="A25:A35">A24+1</f>
        <v>94</v>
      </c>
      <c r="B25" s="4"/>
      <c r="C25" s="4" t="s">
        <v>174</v>
      </c>
      <c r="D25" s="4" t="s">
        <v>207</v>
      </c>
      <c r="E25" s="4" t="s">
        <v>255</v>
      </c>
      <c r="F25" s="17">
        <v>1</v>
      </c>
      <c r="G25" s="68">
        <v>0</v>
      </c>
      <c r="H25" s="17">
        <f aca="true" t="shared" si="5" ref="H25:H31">F25*G25</f>
        <v>0</v>
      </c>
      <c r="I25" s="17">
        <v>0.27994</v>
      </c>
      <c r="J25" s="17">
        <f t="shared" si="3"/>
        <v>0.27994</v>
      </c>
      <c r="O25" s="66"/>
      <c r="W25" s="61"/>
      <c r="AE25" s="46"/>
      <c r="AF25" s="46"/>
    </row>
    <row r="26" spans="1:32" s="58" customFormat="1" ht="12.75">
      <c r="A26" s="57">
        <f t="shared" si="4"/>
        <v>95</v>
      </c>
      <c r="B26" s="4"/>
      <c r="C26" s="4" t="s">
        <v>335</v>
      </c>
      <c r="D26" s="57" t="s">
        <v>336</v>
      </c>
      <c r="E26" s="57" t="s">
        <v>257</v>
      </c>
      <c r="F26" s="17">
        <v>0.35</v>
      </c>
      <c r="G26" s="68">
        <v>0</v>
      </c>
      <c r="H26" s="17">
        <f t="shared" si="5"/>
        <v>0</v>
      </c>
      <c r="I26" s="17">
        <v>2.525</v>
      </c>
      <c r="J26" s="17">
        <f t="shared" si="3"/>
        <v>0.8837499999999999</v>
      </c>
      <c r="L26" s="58">
        <v>2.5</v>
      </c>
      <c r="M26" s="58">
        <v>0.4</v>
      </c>
      <c r="N26" s="58">
        <v>0.35</v>
      </c>
      <c r="O26" s="66">
        <f>L26*M26*N26</f>
        <v>0.35</v>
      </c>
      <c r="W26" s="61"/>
      <c r="AE26" s="46"/>
      <c r="AF26" s="46"/>
    </row>
    <row r="27" spans="1:32" s="58" customFormat="1" ht="12.75">
      <c r="A27" s="57">
        <f t="shared" si="4"/>
        <v>96</v>
      </c>
      <c r="B27" s="4"/>
      <c r="C27" s="4" t="s">
        <v>338</v>
      </c>
      <c r="D27" s="57" t="s">
        <v>343</v>
      </c>
      <c r="E27" s="57" t="s">
        <v>257</v>
      </c>
      <c r="F27" s="17">
        <v>0.2625</v>
      </c>
      <c r="G27" s="68">
        <v>0</v>
      </c>
      <c r="H27" s="17">
        <f t="shared" si="5"/>
        <v>0</v>
      </c>
      <c r="I27" s="17">
        <v>2.52767</v>
      </c>
      <c r="J27" s="17">
        <f t="shared" si="3"/>
        <v>0.6635133750000001</v>
      </c>
      <c r="L27" s="58">
        <v>2.5</v>
      </c>
      <c r="M27" s="58">
        <v>0.35</v>
      </c>
      <c r="N27" s="58">
        <v>0.3</v>
      </c>
      <c r="O27" s="66">
        <f>L27*M27*N27</f>
        <v>0.2625</v>
      </c>
      <c r="W27" s="61"/>
      <c r="AE27" s="46"/>
      <c r="AF27" s="46"/>
    </row>
    <row r="28" spans="1:32" s="58" customFormat="1" ht="12.75">
      <c r="A28" s="57">
        <f t="shared" si="4"/>
        <v>97</v>
      </c>
      <c r="B28" s="4"/>
      <c r="C28" s="4" t="s">
        <v>339</v>
      </c>
      <c r="D28" s="4" t="s">
        <v>340</v>
      </c>
      <c r="E28" s="57" t="s">
        <v>255</v>
      </c>
      <c r="F28" s="17">
        <v>1.71</v>
      </c>
      <c r="G28" s="68">
        <v>0</v>
      </c>
      <c r="H28" s="17">
        <f t="shared" si="5"/>
        <v>0</v>
      </c>
      <c r="I28" s="17">
        <v>0.06031</v>
      </c>
      <c r="J28" s="17">
        <f t="shared" si="3"/>
        <v>0.1031301</v>
      </c>
      <c r="L28" s="58">
        <f>2.5+2.5+0.35+0.35</f>
        <v>5.699999999999999</v>
      </c>
      <c r="M28" s="58">
        <v>0.3</v>
      </c>
      <c r="O28" s="66">
        <f>L28*M28</f>
        <v>1.7099999999999997</v>
      </c>
      <c r="W28" s="61"/>
      <c r="AE28" s="46"/>
      <c r="AF28" s="46"/>
    </row>
    <row r="29" spans="1:32" s="58" customFormat="1" ht="12.75">
      <c r="A29" s="57">
        <f t="shared" si="4"/>
        <v>98</v>
      </c>
      <c r="B29" s="4"/>
      <c r="C29" s="4" t="s">
        <v>341</v>
      </c>
      <c r="D29" s="4" t="s">
        <v>342</v>
      </c>
      <c r="E29" s="57" t="s">
        <v>255</v>
      </c>
      <c r="F29" s="17">
        <f>F28</f>
        <v>1.71</v>
      </c>
      <c r="G29" s="68">
        <v>0</v>
      </c>
      <c r="H29" s="17">
        <f t="shared" si="5"/>
        <v>0</v>
      </c>
      <c r="I29" s="17">
        <v>0</v>
      </c>
      <c r="J29" s="17">
        <f t="shared" si="3"/>
        <v>0</v>
      </c>
      <c r="O29" s="66"/>
      <c r="W29" s="61"/>
      <c r="AE29" s="46"/>
      <c r="AF29" s="46"/>
    </row>
    <row r="30" spans="1:32" s="58" customFormat="1" ht="12.75">
      <c r="A30" s="57">
        <f t="shared" si="4"/>
        <v>99</v>
      </c>
      <c r="B30" s="4"/>
      <c r="C30" s="4" t="s">
        <v>345</v>
      </c>
      <c r="D30" s="4" t="s">
        <v>349</v>
      </c>
      <c r="E30" s="57" t="s">
        <v>255</v>
      </c>
      <c r="F30" s="17">
        <v>1.28</v>
      </c>
      <c r="G30" s="68">
        <v>0</v>
      </c>
      <c r="H30" s="17">
        <f t="shared" si="5"/>
        <v>0</v>
      </c>
      <c r="I30" s="17">
        <v>0.16848</v>
      </c>
      <c r="J30" s="17">
        <f aca="true" t="shared" si="6" ref="J30:J35">I30*F30</f>
        <v>0.2156544</v>
      </c>
      <c r="O30" s="66"/>
      <c r="W30" s="61"/>
      <c r="AE30" s="46"/>
      <c r="AF30" s="46"/>
    </row>
    <row r="31" spans="1:32" s="58" customFormat="1" ht="12.75">
      <c r="A31" s="57">
        <f t="shared" si="4"/>
        <v>100</v>
      </c>
      <c r="B31" s="4"/>
      <c r="C31" s="4" t="s">
        <v>348</v>
      </c>
      <c r="D31" s="57" t="s">
        <v>381</v>
      </c>
      <c r="E31" s="57" t="s">
        <v>255</v>
      </c>
      <c r="F31" s="17">
        <f>F30*1.05</f>
        <v>1.344</v>
      </c>
      <c r="G31" s="68">
        <v>0</v>
      </c>
      <c r="H31" s="17">
        <f t="shared" si="5"/>
        <v>0</v>
      </c>
      <c r="I31" s="17">
        <v>0.08</v>
      </c>
      <c r="J31" s="17">
        <f t="shared" si="6"/>
        <v>0.10752</v>
      </c>
      <c r="O31" s="66"/>
      <c r="W31" s="61"/>
      <c r="AE31" s="46"/>
      <c r="AF31" s="46"/>
    </row>
    <row r="32" spans="1:32" s="58" customFormat="1" ht="12.75">
      <c r="A32" s="57">
        <f t="shared" si="4"/>
        <v>101</v>
      </c>
      <c r="B32" s="4"/>
      <c r="C32" s="4" t="s">
        <v>350</v>
      </c>
      <c r="D32" s="4" t="s">
        <v>351</v>
      </c>
      <c r="E32" s="57" t="s">
        <v>256</v>
      </c>
      <c r="F32" s="17">
        <v>3.735</v>
      </c>
      <c r="G32" s="68">
        <v>0</v>
      </c>
      <c r="H32" s="17">
        <f>F32*G32</f>
        <v>0</v>
      </c>
      <c r="I32" s="17">
        <v>0.18462</v>
      </c>
      <c r="J32" s="17">
        <f t="shared" si="6"/>
        <v>0.6895557</v>
      </c>
      <c r="O32" s="66"/>
      <c r="W32" s="61"/>
      <c r="AE32" s="46"/>
      <c r="AF32" s="46"/>
    </row>
    <row r="33" spans="1:32" s="58" customFormat="1" ht="12.75">
      <c r="A33" s="57">
        <f t="shared" si="4"/>
        <v>102</v>
      </c>
      <c r="B33" s="4"/>
      <c r="C33" s="4" t="s">
        <v>196</v>
      </c>
      <c r="D33" s="4" t="s">
        <v>237</v>
      </c>
      <c r="E33" s="4" t="s">
        <v>255</v>
      </c>
      <c r="F33" s="17">
        <v>7.5</v>
      </c>
      <c r="G33" s="68">
        <v>0</v>
      </c>
      <c r="H33" s="17">
        <f>F33*G33</f>
        <v>0</v>
      </c>
      <c r="I33" s="17">
        <v>0.1</v>
      </c>
      <c r="J33" s="17">
        <f t="shared" si="6"/>
        <v>0.75</v>
      </c>
      <c r="O33" s="66"/>
      <c r="W33" s="61"/>
      <c r="AE33" s="46"/>
      <c r="AF33" s="46"/>
    </row>
    <row r="34" spans="1:32" s="58" customFormat="1" ht="12.75">
      <c r="A34" s="57">
        <f t="shared" si="4"/>
        <v>103</v>
      </c>
      <c r="B34" s="4"/>
      <c r="C34" s="4" t="s">
        <v>181</v>
      </c>
      <c r="D34" s="4" t="s">
        <v>214</v>
      </c>
      <c r="E34" s="4" t="s">
        <v>259</v>
      </c>
      <c r="F34" s="17">
        <v>0.8</v>
      </c>
      <c r="G34" s="68">
        <v>0</v>
      </c>
      <c r="H34" s="17">
        <f>F34*G34</f>
        <v>0</v>
      </c>
      <c r="I34" s="17">
        <v>0</v>
      </c>
      <c r="J34" s="17">
        <f t="shared" si="6"/>
        <v>0</v>
      </c>
      <c r="L34" s="58">
        <v>0.5190476190476191</v>
      </c>
      <c r="M34" s="58" t="s">
        <v>329</v>
      </c>
      <c r="O34" s="66"/>
      <c r="W34" s="61"/>
      <c r="AE34" s="46"/>
      <c r="AF34" s="46"/>
    </row>
    <row r="35" spans="1:32" s="58" customFormat="1" ht="12.75">
      <c r="A35" s="57">
        <f t="shared" si="4"/>
        <v>104</v>
      </c>
      <c r="C35" s="4" t="s">
        <v>182</v>
      </c>
      <c r="D35" s="4" t="s">
        <v>215</v>
      </c>
      <c r="E35" s="4" t="s">
        <v>259</v>
      </c>
      <c r="F35" s="17">
        <v>2.66</v>
      </c>
      <c r="G35" s="68">
        <v>0</v>
      </c>
      <c r="H35" s="17">
        <f>F35*G35</f>
        <v>0</v>
      </c>
      <c r="I35" s="17">
        <v>0</v>
      </c>
      <c r="J35" s="17">
        <f t="shared" si="6"/>
        <v>0</v>
      </c>
      <c r="O35" s="66"/>
      <c r="W35" s="61"/>
      <c r="AE35" s="46"/>
      <c r="AF35" s="46"/>
    </row>
    <row r="36" spans="1:32" ht="12.75">
      <c r="A36" s="41"/>
      <c r="B36" s="59" t="s">
        <v>352</v>
      </c>
      <c r="C36" s="41"/>
      <c r="D36" s="41" t="s">
        <v>353</v>
      </c>
      <c r="E36" s="41" t="s">
        <v>6</v>
      </c>
      <c r="F36" s="41" t="s">
        <v>6</v>
      </c>
      <c r="G36" s="62"/>
      <c r="H36" s="45">
        <f>SUM(H37:H52)</f>
        <v>0</v>
      </c>
      <c r="I36" s="42" t="s">
        <v>6</v>
      </c>
      <c r="J36" s="45">
        <f>SUM(J37:J52)</f>
        <v>68.94311409999999</v>
      </c>
      <c r="W36" s="67"/>
      <c r="X36" s="58"/>
      <c r="AE36" s="46">
        <f>G56*0</f>
        <v>0</v>
      </c>
      <c r="AF36" s="46">
        <f>G56*(1-0)</f>
        <v>0</v>
      </c>
    </row>
    <row r="37" spans="1:32" s="58" customFormat="1" ht="12.75">
      <c r="A37" s="57" t="s">
        <v>111</v>
      </c>
      <c r="B37" s="4"/>
      <c r="C37" s="57" t="s">
        <v>382</v>
      </c>
      <c r="D37" s="57" t="s">
        <v>383</v>
      </c>
      <c r="E37" s="4" t="s">
        <v>255</v>
      </c>
      <c r="F37" s="17">
        <v>40.54</v>
      </c>
      <c r="G37" s="68">
        <v>0</v>
      </c>
      <c r="H37" s="17">
        <f>F37*G37</f>
        <v>0</v>
      </c>
      <c r="I37" s="17">
        <v>0.37</v>
      </c>
      <c r="J37" s="17">
        <f>I37*F37</f>
        <v>14.999799999999999</v>
      </c>
      <c r="O37" s="66"/>
      <c r="W37" s="61"/>
      <c r="AE37" s="46"/>
      <c r="AF37" s="46"/>
    </row>
    <row r="38" spans="1:32" s="58" customFormat="1" ht="12.75">
      <c r="A38" s="57">
        <f aca="true" t="shared" si="7" ref="A38:A52">A37+1</f>
        <v>106</v>
      </c>
      <c r="B38" s="4"/>
      <c r="C38" s="4" t="s">
        <v>374</v>
      </c>
      <c r="D38" s="57" t="s">
        <v>384</v>
      </c>
      <c r="E38" s="57" t="s">
        <v>255</v>
      </c>
      <c r="F38" s="17">
        <v>40.54</v>
      </c>
      <c r="G38" s="68">
        <v>0</v>
      </c>
      <c r="H38" s="17">
        <f>F38*G38</f>
        <v>0</v>
      </c>
      <c r="I38" s="17">
        <v>0.14</v>
      </c>
      <c r="J38" s="17">
        <f>I38*F38</f>
        <v>5.6756</v>
      </c>
      <c r="O38" s="66"/>
      <c r="W38" s="61"/>
      <c r="AE38" s="46"/>
      <c r="AF38" s="46"/>
    </row>
    <row r="39" spans="1:32" s="58" customFormat="1" ht="12.75">
      <c r="A39" s="57">
        <f t="shared" si="7"/>
        <v>107</v>
      </c>
      <c r="B39" s="4"/>
      <c r="C39" s="4" t="s">
        <v>172</v>
      </c>
      <c r="D39" s="4" t="s">
        <v>205</v>
      </c>
      <c r="E39" s="4" t="s">
        <v>256</v>
      </c>
      <c r="F39" s="17">
        <v>68.5</v>
      </c>
      <c r="G39" s="68">
        <v>0</v>
      </c>
      <c r="H39" s="17">
        <f aca="true" t="shared" si="8" ref="H39:H65">F39*G39</f>
        <v>0</v>
      </c>
      <c r="I39" s="17">
        <v>0.017</v>
      </c>
      <c r="J39" s="17">
        <f aca="true" t="shared" si="9" ref="J39:J52">I39*F39</f>
        <v>1.1645</v>
      </c>
      <c r="O39" s="66"/>
      <c r="W39" s="61"/>
      <c r="AE39" s="46"/>
      <c r="AF39" s="46"/>
    </row>
    <row r="40" spans="1:32" s="58" customFormat="1" ht="12.75">
      <c r="A40" s="57">
        <f t="shared" si="7"/>
        <v>108</v>
      </c>
      <c r="B40" s="4"/>
      <c r="C40" s="4" t="s">
        <v>173</v>
      </c>
      <c r="D40" s="4" t="s">
        <v>206</v>
      </c>
      <c r="E40" s="4" t="s">
        <v>257</v>
      </c>
      <c r="F40" s="17">
        <v>7.71</v>
      </c>
      <c r="G40" s="68">
        <v>0</v>
      </c>
      <c r="H40" s="17">
        <f t="shared" si="8"/>
        <v>0</v>
      </c>
      <c r="I40" s="17">
        <v>1.6</v>
      </c>
      <c r="J40" s="17">
        <f t="shared" si="9"/>
        <v>12.336</v>
      </c>
      <c r="O40" s="66"/>
      <c r="W40" s="61"/>
      <c r="AE40" s="46"/>
      <c r="AF40" s="46"/>
    </row>
    <row r="41" spans="1:32" s="58" customFormat="1" ht="12.75">
      <c r="A41" s="57">
        <f t="shared" si="7"/>
        <v>109</v>
      </c>
      <c r="B41" s="4"/>
      <c r="C41" s="4" t="s">
        <v>332</v>
      </c>
      <c r="D41" s="4" t="s">
        <v>333</v>
      </c>
      <c r="E41" s="57" t="s">
        <v>255</v>
      </c>
      <c r="F41" s="17">
        <v>40.54</v>
      </c>
      <c r="G41" s="68">
        <v>0</v>
      </c>
      <c r="H41" s="17">
        <f t="shared" si="8"/>
        <v>0</v>
      </c>
      <c r="I41" s="17">
        <v>0</v>
      </c>
      <c r="J41" s="17">
        <f t="shared" si="9"/>
        <v>0</v>
      </c>
      <c r="O41" s="66"/>
      <c r="W41" s="61"/>
      <c r="AE41" s="46"/>
      <c r="AF41" s="46"/>
    </row>
    <row r="42" spans="1:32" s="58" customFormat="1" ht="12.75">
      <c r="A42" s="57">
        <f t="shared" si="7"/>
        <v>110</v>
      </c>
      <c r="B42" s="4"/>
      <c r="C42" s="4" t="s">
        <v>174</v>
      </c>
      <c r="D42" s="4" t="s">
        <v>225</v>
      </c>
      <c r="E42" s="4" t="s">
        <v>255</v>
      </c>
      <c r="F42" s="17">
        <v>40.54</v>
      </c>
      <c r="G42" s="68">
        <v>0</v>
      </c>
      <c r="H42" s="17">
        <f t="shared" si="8"/>
        <v>0</v>
      </c>
      <c r="I42" s="17">
        <v>0.27994</v>
      </c>
      <c r="J42" s="17">
        <f t="shared" si="9"/>
        <v>11.3487676</v>
      </c>
      <c r="O42" s="66"/>
      <c r="W42" s="61"/>
      <c r="AE42" s="46"/>
      <c r="AF42" s="46"/>
    </row>
    <row r="43" spans="1:32" s="58" customFormat="1" ht="12.75">
      <c r="A43" s="57">
        <f t="shared" si="7"/>
        <v>111</v>
      </c>
      <c r="B43" s="4"/>
      <c r="C43" s="4" t="s">
        <v>175</v>
      </c>
      <c r="D43" s="4" t="s">
        <v>208</v>
      </c>
      <c r="E43" s="4" t="s">
        <v>256</v>
      </c>
      <c r="F43" s="17">
        <v>68.5</v>
      </c>
      <c r="G43" s="68">
        <v>0</v>
      </c>
      <c r="H43" s="17">
        <f t="shared" si="8"/>
        <v>0</v>
      </c>
      <c r="I43" s="17">
        <v>0.14424</v>
      </c>
      <c r="J43" s="17">
        <f t="shared" si="9"/>
        <v>9.88044</v>
      </c>
      <c r="O43" s="66"/>
      <c r="W43" s="61"/>
      <c r="AE43" s="46"/>
      <c r="AF43" s="46"/>
    </row>
    <row r="44" spans="1:32" s="58" customFormat="1" ht="12.75">
      <c r="A44" s="57">
        <f t="shared" si="7"/>
        <v>112</v>
      </c>
      <c r="B44" s="5"/>
      <c r="C44" s="5" t="s">
        <v>176</v>
      </c>
      <c r="D44" s="5" t="s">
        <v>209</v>
      </c>
      <c r="E44" s="5" t="s">
        <v>258</v>
      </c>
      <c r="F44" s="18">
        <v>240</v>
      </c>
      <c r="G44" s="68">
        <v>0</v>
      </c>
      <c r="H44" s="17">
        <f t="shared" si="8"/>
        <v>0</v>
      </c>
      <c r="I44" s="18">
        <v>0.0052</v>
      </c>
      <c r="J44" s="17">
        <f t="shared" si="9"/>
        <v>1.248</v>
      </c>
      <c r="O44" s="66"/>
      <c r="W44" s="61"/>
      <c r="AE44" s="46"/>
      <c r="AF44" s="46"/>
    </row>
    <row r="45" spans="1:32" s="58" customFormat="1" ht="12.75">
      <c r="A45" s="57">
        <f t="shared" si="7"/>
        <v>113</v>
      </c>
      <c r="B45" s="5"/>
      <c r="C45" s="58" t="s">
        <v>337</v>
      </c>
      <c r="D45" s="65" t="s">
        <v>387</v>
      </c>
      <c r="E45" s="65" t="s">
        <v>255</v>
      </c>
      <c r="F45" s="61">
        <v>40.54</v>
      </c>
      <c r="G45" s="68">
        <v>0</v>
      </c>
      <c r="H45" s="17">
        <f t="shared" si="8"/>
        <v>0</v>
      </c>
      <c r="I45" s="17">
        <v>0.0019</v>
      </c>
      <c r="J45" s="17">
        <f t="shared" si="9"/>
        <v>0.077026</v>
      </c>
      <c r="O45" s="66"/>
      <c r="W45" s="61"/>
      <c r="AE45" s="46"/>
      <c r="AF45" s="46"/>
    </row>
    <row r="46" spans="1:32" s="58" customFormat="1" ht="12.75">
      <c r="A46" s="57">
        <f t="shared" si="7"/>
        <v>114</v>
      </c>
      <c r="B46" s="4"/>
      <c r="C46" s="4" t="s">
        <v>178</v>
      </c>
      <c r="D46" s="4" t="s">
        <v>211</v>
      </c>
      <c r="E46" s="4" t="s">
        <v>257</v>
      </c>
      <c r="F46" s="17">
        <v>4.06</v>
      </c>
      <c r="G46" s="68">
        <v>0</v>
      </c>
      <c r="H46" s="17">
        <f t="shared" si="8"/>
        <v>0</v>
      </c>
      <c r="I46" s="17">
        <v>2.545</v>
      </c>
      <c r="J46" s="17">
        <f t="shared" si="9"/>
        <v>10.332699999999999</v>
      </c>
      <c r="O46" s="66"/>
      <c r="W46" s="61"/>
      <c r="AE46" s="46"/>
      <c r="AF46" s="46"/>
    </row>
    <row r="47" spans="1:32" s="58" customFormat="1" ht="12.75">
      <c r="A47" s="57">
        <f t="shared" si="7"/>
        <v>115</v>
      </c>
      <c r="B47" s="4"/>
      <c r="C47" s="4" t="s">
        <v>177</v>
      </c>
      <c r="D47" s="4" t="s">
        <v>210</v>
      </c>
      <c r="E47" s="4" t="s">
        <v>259</v>
      </c>
      <c r="F47" s="17">
        <v>0.226</v>
      </c>
      <c r="G47" s="68">
        <v>0</v>
      </c>
      <c r="H47" s="17">
        <f t="shared" si="8"/>
        <v>0</v>
      </c>
      <c r="I47" s="17">
        <v>1.06625</v>
      </c>
      <c r="J47" s="17">
        <f t="shared" si="9"/>
        <v>0.24097249999999998</v>
      </c>
      <c r="O47" s="66"/>
      <c r="W47" s="61"/>
      <c r="AE47" s="46"/>
      <c r="AF47" s="46"/>
    </row>
    <row r="48" spans="1:32" s="58" customFormat="1" ht="12.75">
      <c r="A48" s="57">
        <f t="shared" si="7"/>
        <v>116</v>
      </c>
      <c r="B48" s="4"/>
      <c r="C48" s="4" t="s">
        <v>179</v>
      </c>
      <c r="D48" s="4" t="s">
        <v>212</v>
      </c>
      <c r="E48" s="4" t="s">
        <v>257</v>
      </c>
      <c r="F48" s="17">
        <v>4.06</v>
      </c>
      <c r="G48" s="68">
        <v>0</v>
      </c>
      <c r="H48" s="17">
        <f t="shared" si="8"/>
        <v>0</v>
      </c>
      <c r="I48" s="17">
        <v>0.02</v>
      </c>
      <c r="J48" s="17">
        <f t="shared" si="9"/>
        <v>0.0812</v>
      </c>
      <c r="O48" s="66"/>
      <c r="W48" s="61"/>
      <c r="AE48" s="46"/>
      <c r="AF48" s="46"/>
    </row>
    <row r="49" spans="1:32" s="58" customFormat="1" ht="12.75">
      <c r="A49" s="57">
        <f t="shared" si="7"/>
        <v>117</v>
      </c>
      <c r="B49" s="4"/>
      <c r="C49" s="4" t="s">
        <v>180</v>
      </c>
      <c r="D49" s="4" t="s">
        <v>213</v>
      </c>
      <c r="E49" s="4" t="s">
        <v>255</v>
      </c>
      <c r="F49" s="17">
        <v>40.54</v>
      </c>
      <c r="G49" s="68">
        <v>0</v>
      </c>
      <c r="H49" s="17">
        <f t="shared" si="8"/>
        <v>0</v>
      </c>
      <c r="I49" s="17">
        <v>0.0002</v>
      </c>
      <c r="J49" s="17">
        <f t="shared" si="9"/>
        <v>0.008108</v>
      </c>
      <c r="O49" s="66"/>
      <c r="W49" s="61"/>
      <c r="AE49" s="46"/>
      <c r="AF49" s="46"/>
    </row>
    <row r="50" spans="1:32" s="58" customFormat="1" ht="12.75">
      <c r="A50" s="57">
        <f t="shared" si="7"/>
        <v>118</v>
      </c>
      <c r="B50" s="4"/>
      <c r="C50" s="4" t="s">
        <v>196</v>
      </c>
      <c r="D50" s="4" t="s">
        <v>237</v>
      </c>
      <c r="E50" s="4" t="s">
        <v>255</v>
      </c>
      <c r="F50" s="17">
        <v>15.5</v>
      </c>
      <c r="G50" s="68">
        <v>0</v>
      </c>
      <c r="H50" s="17">
        <f>F50*G50</f>
        <v>0</v>
      </c>
      <c r="I50" s="17">
        <v>0.1</v>
      </c>
      <c r="J50" s="17">
        <f t="shared" si="9"/>
        <v>1.55</v>
      </c>
      <c r="O50" s="66"/>
      <c r="W50" s="61"/>
      <c r="AE50" s="46"/>
      <c r="AF50" s="46"/>
    </row>
    <row r="51" spans="1:32" s="58" customFormat="1" ht="12.75">
      <c r="A51" s="57">
        <f t="shared" si="7"/>
        <v>119</v>
      </c>
      <c r="B51" s="4"/>
      <c r="C51" s="4" t="s">
        <v>181</v>
      </c>
      <c r="D51" s="4" t="s">
        <v>214</v>
      </c>
      <c r="E51" s="4" t="s">
        <v>259</v>
      </c>
      <c r="F51" s="17">
        <v>22.25</v>
      </c>
      <c r="G51" s="68">
        <v>0</v>
      </c>
      <c r="H51" s="17">
        <f t="shared" si="8"/>
        <v>0</v>
      </c>
      <c r="I51" s="17">
        <v>0</v>
      </c>
      <c r="J51" s="17">
        <f t="shared" si="9"/>
        <v>0</v>
      </c>
      <c r="L51" s="58">
        <v>0.5190476190476191</v>
      </c>
      <c r="M51" s="58" t="s">
        <v>329</v>
      </c>
      <c r="O51" s="66"/>
      <c r="W51" s="61"/>
      <c r="AE51" s="46"/>
      <c r="AF51" s="46"/>
    </row>
    <row r="52" spans="1:32" s="58" customFormat="1" ht="12.75">
      <c r="A52" s="57">
        <f t="shared" si="7"/>
        <v>120</v>
      </c>
      <c r="B52" s="4"/>
      <c r="C52" s="4" t="s">
        <v>182</v>
      </c>
      <c r="D52" s="4" t="s">
        <v>215</v>
      </c>
      <c r="E52" s="4" t="s">
        <v>259</v>
      </c>
      <c r="F52" s="17">
        <v>45.55</v>
      </c>
      <c r="G52" s="68">
        <v>0</v>
      </c>
      <c r="H52" s="17">
        <f>F52*G52</f>
        <v>0</v>
      </c>
      <c r="I52" s="17">
        <v>0</v>
      </c>
      <c r="J52" s="17">
        <f t="shared" si="9"/>
        <v>0</v>
      </c>
      <c r="O52" s="66"/>
      <c r="W52" s="61"/>
      <c r="AE52" s="46"/>
      <c r="AF52" s="46"/>
    </row>
    <row r="53" spans="1:32" ht="12.75">
      <c r="A53" s="41"/>
      <c r="B53" s="41" t="s">
        <v>354</v>
      </c>
      <c r="C53" s="41"/>
      <c r="D53" s="41" t="s">
        <v>406</v>
      </c>
      <c r="E53" s="41" t="s">
        <v>6</v>
      </c>
      <c r="F53" s="41" t="s">
        <v>6</v>
      </c>
      <c r="G53" s="62"/>
      <c r="H53" s="45">
        <f>SUM(H54:H66)</f>
        <v>0</v>
      </c>
      <c r="I53" s="42" t="s">
        <v>6</v>
      </c>
      <c r="J53" s="45">
        <f>SUM(J54:J66)</f>
        <v>76.82413199999999</v>
      </c>
      <c r="W53" s="67"/>
      <c r="X53" s="58"/>
      <c r="AE53" s="46">
        <f>G66*0</f>
        <v>0</v>
      </c>
      <c r="AF53" s="46">
        <f>G66*(1-0)</f>
        <v>0</v>
      </c>
    </row>
    <row r="54" spans="1:23" s="58" customFormat="1" ht="12.75">
      <c r="A54" s="57" t="s">
        <v>127</v>
      </c>
      <c r="B54" s="4"/>
      <c r="C54" s="57" t="s">
        <v>382</v>
      </c>
      <c r="D54" s="57" t="s">
        <v>383</v>
      </c>
      <c r="E54" s="4" t="s">
        <v>255</v>
      </c>
      <c r="F54" s="17">
        <v>41.2</v>
      </c>
      <c r="G54" s="68">
        <v>0</v>
      </c>
      <c r="H54" s="17">
        <f>F54*G54</f>
        <v>0</v>
      </c>
      <c r="I54" s="17">
        <v>0.37</v>
      </c>
      <c r="J54" s="17">
        <f>I54*F54</f>
        <v>15.244000000000002</v>
      </c>
      <c r="O54" s="66"/>
      <c r="W54" s="61"/>
    </row>
    <row r="55" spans="1:23" s="58" customFormat="1" ht="12.75">
      <c r="A55" s="57">
        <f aca="true" t="shared" si="10" ref="A55:A66">A54+1</f>
        <v>122</v>
      </c>
      <c r="B55" s="4"/>
      <c r="C55" s="4" t="s">
        <v>374</v>
      </c>
      <c r="D55" s="57" t="s">
        <v>384</v>
      </c>
      <c r="E55" s="57" t="s">
        <v>255</v>
      </c>
      <c r="F55" s="17">
        <v>41.2</v>
      </c>
      <c r="G55" s="68">
        <v>0</v>
      </c>
      <c r="H55" s="17">
        <f>F55*G55</f>
        <v>0</v>
      </c>
      <c r="I55" s="17">
        <v>0.14</v>
      </c>
      <c r="J55" s="17">
        <f>I55*F55</f>
        <v>5.768000000000001</v>
      </c>
      <c r="O55" s="66"/>
      <c r="W55" s="61"/>
    </row>
    <row r="56" spans="1:32" s="58" customFormat="1" ht="12.75">
      <c r="A56" s="57">
        <f t="shared" si="10"/>
        <v>123</v>
      </c>
      <c r="B56" s="4"/>
      <c r="C56" s="4" t="s">
        <v>172</v>
      </c>
      <c r="D56" s="4" t="s">
        <v>205</v>
      </c>
      <c r="E56" s="4" t="s">
        <v>256</v>
      </c>
      <c r="F56" s="17">
        <v>71</v>
      </c>
      <c r="G56" s="68">
        <v>0</v>
      </c>
      <c r="H56" s="17">
        <f t="shared" si="8"/>
        <v>0</v>
      </c>
      <c r="I56" s="17">
        <v>0.017</v>
      </c>
      <c r="J56" s="17">
        <f aca="true" t="shared" si="11" ref="J56:J66">I56*F56</f>
        <v>1.207</v>
      </c>
      <c r="O56" s="66"/>
      <c r="W56" s="61"/>
      <c r="AE56" s="46" t="e">
        <f>#REF!*0.0185161290322581</f>
        <v>#REF!</v>
      </c>
      <c r="AF56" s="46" t="e">
        <f>#REF!*(1-0.0185161290322581)</f>
        <v>#REF!</v>
      </c>
    </row>
    <row r="57" spans="1:32" s="58" customFormat="1" ht="12.75">
      <c r="A57" s="57">
        <f t="shared" si="10"/>
        <v>124</v>
      </c>
      <c r="B57" s="4"/>
      <c r="C57" s="4" t="s">
        <v>173</v>
      </c>
      <c r="D57" s="4" t="s">
        <v>206</v>
      </c>
      <c r="E57" s="4" t="s">
        <v>257</v>
      </c>
      <c r="F57" s="17">
        <v>7.828</v>
      </c>
      <c r="G57" s="68">
        <v>0</v>
      </c>
      <c r="H57" s="17">
        <f t="shared" si="8"/>
        <v>0</v>
      </c>
      <c r="I57" s="17">
        <v>1.6</v>
      </c>
      <c r="J57" s="17">
        <f t="shared" si="11"/>
        <v>12.5248</v>
      </c>
      <c r="O57" s="66"/>
      <c r="W57" s="61"/>
      <c r="AE57" s="46" t="e">
        <f>#REF!*0</f>
        <v>#REF!</v>
      </c>
      <c r="AF57" s="46" t="e">
        <f>#REF!*(1-0)</f>
        <v>#REF!</v>
      </c>
    </row>
    <row r="58" spans="1:32" s="58" customFormat="1" ht="12.75">
      <c r="A58" s="57">
        <f t="shared" si="10"/>
        <v>125</v>
      </c>
      <c r="B58" s="4"/>
      <c r="C58" s="4" t="s">
        <v>332</v>
      </c>
      <c r="D58" s="4" t="s">
        <v>333</v>
      </c>
      <c r="E58" s="57" t="s">
        <v>255</v>
      </c>
      <c r="F58" s="17">
        <v>41.2</v>
      </c>
      <c r="G58" s="68">
        <v>0</v>
      </c>
      <c r="H58" s="17">
        <f>F58*G58</f>
        <v>0</v>
      </c>
      <c r="I58" s="17">
        <v>0</v>
      </c>
      <c r="J58" s="17">
        <f t="shared" si="11"/>
        <v>0</v>
      </c>
      <c r="O58" s="66"/>
      <c r="W58" s="61"/>
      <c r="AE58" s="46"/>
      <c r="AF58" s="46"/>
    </row>
    <row r="59" spans="1:32" s="58" customFormat="1" ht="12.75">
      <c r="A59" s="57">
        <f t="shared" si="10"/>
        <v>126</v>
      </c>
      <c r="B59" s="4"/>
      <c r="C59" s="4" t="s">
        <v>174</v>
      </c>
      <c r="D59" s="4" t="s">
        <v>225</v>
      </c>
      <c r="E59" s="4" t="s">
        <v>255</v>
      </c>
      <c r="F59" s="17">
        <v>41.2</v>
      </c>
      <c r="G59" s="68">
        <v>0</v>
      </c>
      <c r="H59" s="17">
        <f t="shared" si="8"/>
        <v>0</v>
      </c>
      <c r="I59" s="17">
        <v>0.27994</v>
      </c>
      <c r="J59" s="17">
        <f t="shared" si="11"/>
        <v>11.533528000000002</v>
      </c>
      <c r="O59" s="66"/>
      <c r="W59" s="61"/>
      <c r="AE59" s="46" t="e">
        <f>#REF!*0</f>
        <v>#REF!</v>
      </c>
      <c r="AF59" s="46" t="e">
        <f>#REF!*(1-0)</f>
        <v>#REF!</v>
      </c>
    </row>
    <row r="60" spans="1:32" s="58" customFormat="1" ht="12.75">
      <c r="A60" s="57">
        <f t="shared" si="10"/>
        <v>127</v>
      </c>
      <c r="B60" s="4"/>
      <c r="C60" s="4" t="s">
        <v>186</v>
      </c>
      <c r="D60" s="4" t="s">
        <v>334</v>
      </c>
      <c r="E60" s="4" t="s">
        <v>255</v>
      </c>
      <c r="F60" s="17">
        <v>41.2</v>
      </c>
      <c r="G60" s="68">
        <v>0</v>
      </c>
      <c r="H60" s="17">
        <f t="shared" si="8"/>
        <v>0</v>
      </c>
      <c r="I60" s="17">
        <v>0.18907</v>
      </c>
      <c r="J60" s="17">
        <f t="shared" si="11"/>
        <v>7.789684</v>
      </c>
      <c r="O60" s="66"/>
      <c r="W60" s="61"/>
      <c r="AE60" s="46"/>
      <c r="AF60" s="46"/>
    </row>
    <row r="61" spans="1:32" s="58" customFormat="1" ht="12.75">
      <c r="A61" s="57">
        <f t="shared" si="10"/>
        <v>128</v>
      </c>
      <c r="B61" s="4"/>
      <c r="C61" s="4" t="s">
        <v>175</v>
      </c>
      <c r="D61" s="4" t="s">
        <v>208</v>
      </c>
      <c r="E61" s="4" t="s">
        <v>256</v>
      </c>
      <c r="F61" s="17">
        <v>71</v>
      </c>
      <c r="G61" s="68">
        <v>0</v>
      </c>
      <c r="H61" s="17">
        <f t="shared" si="8"/>
        <v>0</v>
      </c>
      <c r="I61" s="17">
        <v>0.14424</v>
      </c>
      <c r="J61" s="17">
        <f t="shared" si="11"/>
        <v>10.24104</v>
      </c>
      <c r="O61" s="66"/>
      <c r="W61" s="61"/>
      <c r="AE61" s="46" t="e">
        <f>#REF!*0.810693641618497</f>
        <v>#REF!</v>
      </c>
      <c r="AF61" s="46" t="e">
        <f>#REF!*(1-0.810693641618497)</f>
        <v>#REF!</v>
      </c>
    </row>
    <row r="62" spans="1:32" s="58" customFormat="1" ht="12.75">
      <c r="A62" s="57">
        <f t="shared" si="10"/>
        <v>129</v>
      </c>
      <c r="B62" s="5"/>
      <c r="C62" s="5" t="s">
        <v>176</v>
      </c>
      <c r="D62" s="5" t="s">
        <v>209</v>
      </c>
      <c r="E62" s="5" t="s">
        <v>258</v>
      </c>
      <c r="F62" s="18">
        <v>250</v>
      </c>
      <c r="G62" s="68">
        <v>0</v>
      </c>
      <c r="H62" s="17">
        <f t="shared" si="8"/>
        <v>0</v>
      </c>
      <c r="I62" s="18">
        <v>0.0052</v>
      </c>
      <c r="J62" s="18">
        <f t="shared" si="11"/>
        <v>1.3</v>
      </c>
      <c r="O62" s="66"/>
      <c r="W62" s="61"/>
      <c r="AE62" s="46" t="e">
        <f>#REF!*0.637759103641456</f>
        <v>#REF!</v>
      </c>
      <c r="AF62" s="46" t="e">
        <f>#REF!*(1-0.637759103641456)</f>
        <v>#REF!</v>
      </c>
    </row>
    <row r="63" spans="1:32" s="58" customFormat="1" ht="12.75">
      <c r="A63" s="57">
        <f t="shared" si="10"/>
        <v>130</v>
      </c>
      <c r="B63" s="5"/>
      <c r="C63" s="4" t="s">
        <v>195</v>
      </c>
      <c r="D63" s="57" t="s">
        <v>344</v>
      </c>
      <c r="E63" s="4" t="s">
        <v>255</v>
      </c>
      <c r="F63" s="17">
        <v>41.2</v>
      </c>
      <c r="G63" s="68">
        <v>0</v>
      </c>
      <c r="H63" s="17">
        <f t="shared" si="8"/>
        <v>0</v>
      </c>
      <c r="I63" s="17">
        <v>0.2334</v>
      </c>
      <c r="J63" s="17">
        <f t="shared" si="11"/>
        <v>9.61608</v>
      </c>
      <c r="O63" s="66"/>
      <c r="W63" s="61"/>
      <c r="AE63" s="46"/>
      <c r="AF63" s="46"/>
    </row>
    <row r="64" spans="1:32" s="58" customFormat="1" ht="12.75">
      <c r="A64" s="57">
        <f t="shared" si="10"/>
        <v>131</v>
      </c>
      <c r="B64" s="5"/>
      <c r="C64" s="4" t="s">
        <v>196</v>
      </c>
      <c r="D64" s="4" t="s">
        <v>237</v>
      </c>
      <c r="E64" s="4" t="s">
        <v>255</v>
      </c>
      <c r="F64" s="17">
        <v>16</v>
      </c>
      <c r="G64" s="68">
        <v>0</v>
      </c>
      <c r="H64" s="17">
        <f t="shared" si="8"/>
        <v>0</v>
      </c>
      <c r="I64" s="17">
        <v>0.1</v>
      </c>
      <c r="J64" s="17">
        <f t="shared" si="11"/>
        <v>1.6</v>
      </c>
      <c r="O64" s="66"/>
      <c r="W64" s="61"/>
      <c r="AE64" s="46"/>
      <c r="AF64" s="46"/>
    </row>
    <row r="65" spans="1:32" s="58" customFormat="1" ht="12.75">
      <c r="A65" s="57">
        <f t="shared" si="10"/>
        <v>132</v>
      </c>
      <c r="B65" s="4"/>
      <c r="C65" s="4" t="s">
        <v>181</v>
      </c>
      <c r="D65" s="4" t="s">
        <v>214</v>
      </c>
      <c r="E65" s="4" t="s">
        <v>259</v>
      </c>
      <c r="F65" s="17">
        <v>22.63</v>
      </c>
      <c r="G65" s="68">
        <v>0</v>
      </c>
      <c r="H65" s="17">
        <f t="shared" si="8"/>
        <v>0</v>
      </c>
      <c r="I65" s="17">
        <v>0</v>
      </c>
      <c r="J65" s="17">
        <f t="shared" si="11"/>
        <v>0</v>
      </c>
      <c r="L65" s="58">
        <v>0.5190476190476191</v>
      </c>
      <c r="M65" s="58" t="s">
        <v>329</v>
      </c>
      <c r="O65" s="66"/>
      <c r="W65" s="61"/>
      <c r="AE65" s="46" t="e">
        <f>#REF!*0</f>
        <v>#REF!</v>
      </c>
      <c r="AF65" s="46" t="e">
        <f>#REF!*(1-0)</f>
        <v>#REF!</v>
      </c>
    </row>
    <row r="66" spans="1:23" s="58" customFormat="1" ht="12.75">
      <c r="A66" s="57">
        <f t="shared" si="10"/>
        <v>133</v>
      </c>
      <c r="B66" s="4"/>
      <c r="C66" s="4" t="s">
        <v>182</v>
      </c>
      <c r="D66" s="4" t="s">
        <v>215</v>
      </c>
      <c r="E66" s="4" t="s">
        <v>259</v>
      </c>
      <c r="F66" s="17">
        <v>43.39</v>
      </c>
      <c r="G66" s="68">
        <v>0</v>
      </c>
      <c r="H66" s="17">
        <f>F66*G66</f>
        <v>0</v>
      </c>
      <c r="I66" s="17">
        <v>0</v>
      </c>
      <c r="J66" s="17">
        <f t="shared" si="11"/>
        <v>0</v>
      </c>
      <c r="O66" s="66"/>
      <c r="W66" s="61"/>
    </row>
    <row r="67" spans="1:32" ht="12.75">
      <c r="A67" s="41"/>
      <c r="B67" s="41" t="s">
        <v>356</v>
      </c>
      <c r="C67" s="41"/>
      <c r="D67" s="41" t="s">
        <v>355</v>
      </c>
      <c r="E67" s="41" t="s">
        <v>6</v>
      </c>
      <c r="F67" s="41" t="s">
        <v>6</v>
      </c>
      <c r="G67" s="62"/>
      <c r="H67" s="45">
        <f>SUM(H68:H80)</f>
        <v>0</v>
      </c>
      <c r="I67" s="42" t="s">
        <v>6</v>
      </c>
      <c r="J67" s="45">
        <f>SUM(J68:J80)</f>
        <v>208.38952199999997</v>
      </c>
      <c r="W67" s="67"/>
      <c r="X67" s="58"/>
      <c r="AE67" s="46" t="e">
        <f>#REF!*0.0185161290322581</f>
        <v>#REF!</v>
      </c>
      <c r="AF67" s="46" t="e">
        <f>#REF!*(1-0.0185161290322581)</f>
        <v>#REF!</v>
      </c>
    </row>
    <row r="68" spans="1:32" s="58" customFormat="1" ht="12.75">
      <c r="A68" s="57" t="s">
        <v>140</v>
      </c>
      <c r="B68" s="4"/>
      <c r="C68" s="57" t="s">
        <v>382</v>
      </c>
      <c r="D68" s="57" t="s">
        <v>383</v>
      </c>
      <c r="E68" s="4" t="s">
        <v>255</v>
      </c>
      <c r="F68" s="17">
        <v>112.2</v>
      </c>
      <c r="G68" s="68">
        <v>0</v>
      </c>
      <c r="H68" s="17">
        <f>F68*G68</f>
        <v>0</v>
      </c>
      <c r="I68" s="17">
        <v>0.37</v>
      </c>
      <c r="J68" s="17">
        <f>I68*F68</f>
        <v>41.514</v>
      </c>
      <c r="O68" s="66"/>
      <c r="W68" s="61"/>
      <c r="AE68" s="46"/>
      <c r="AF68" s="46"/>
    </row>
    <row r="69" spans="1:32" s="58" customFormat="1" ht="12.75">
      <c r="A69" s="57">
        <f aca="true" t="shared" si="12" ref="A69:A80">A68+1</f>
        <v>135</v>
      </c>
      <c r="B69" s="4"/>
      <c r="C69" s="4" t="s">
        <v>374</v>
      </c>
      <c r="D69" s="57" t="s">
        <v>384</v>
      </c>
      <c r="E69" s="57" t="s">
        <v>255</v>
      </c>
      <c r="F69" s="17">
        <v>112.2</v>
      </c>
      <c r="G69" s="68">
        <v>0</v>
      </c>
      <c r="H69" s="17">
        <f>F69*G69</f>
        <v>0</v>
      </c>
      <c r="I69" s="17">
        <v>0.14</v>
      </c>
      <c r="J69" s="17">
        <f>I69*F69</f>
        <v>15.708000000000002</v>
      </c>
      <c r="O69" s="66"/>
      <c r="W69" s="61"/>
      <c r="AE69" s="46"/>
      <c r="AF69" s="46"/>
    </row>
    <row r="70" spans="1:32" s="58" customFormat="1" ht="12.75">
      <c r="A70" s="57">
        <f t="shared" si="12"/>
        <v>136</v>
      </c>
      <c r="B70" s="4"/>
      <c r="C70" s="4" t="s">
        <v>172</v>
      </c>
      <c r="D70" s="4" t="s">
        <v>205</v>
      </c>
      <c r="E70" s="4" t="s">
        <v>256</v>
      </c>
      <c r="F70" s="17">
        <v>188</v>
      </c>
      <c r="G70" s="68">
        <v>0</v>
      </c>
      <c r="H70" s="17">
        <f aca="true" t="shared" si="13" ref="H70:H79">F70*G70</f>
        <v>0</v>
      </c>
      <c r="I70" s="17">
        <v>0.017</v>
      </c>
      <c r="J70" s="17">
        <f aca="true" t="shared" si="14" ref="J70:J80">I70*F70</f>
        <v>3.196</v>
      </c>
      <c r="O70" s="66"/>
      <c r="W70" s="61"/>
      <c r="AE70" s="46"/>
      <c r="AF70" s="46"/>
    </row>
    <row r="71" spans="1:32" s="58" customFormat="1" ht="12.75">
      <c r="A71" s="57">
        <f t="shared" si="12"/>
        <v>137</v>
      </c>
      <c r="B71" s="4"/>
      <c r="C71" s="4" t="s">
        <v>173</v>
      </c>
      <c r="D71" s="4" t="s">
        <v>206</v>
      </c>
      <c r="E71" s="4" t="s">
        <v>257</v>
      </c>
      <c r="F71" s="17">
        <v>21.32</v>
      </c>
      <c r="G71" s="68">
        <v>0</v>
      </c>
      <c r="H71" s="17">
        <f t="shared" si="13"/>
        <v>0</v>
      </c>
      <c r="I71" s="17">
        <v>1.6</v>
      </c>
      <c r="J71" s="17">
        <f t="shared" si="14"/>
        <v>34.112</v>
      </c>
      <c r="O71" s="66"/>
      <c r="W71" s="61"/>
      <c r="AE71" s="46"/>
      <c r="AF71" s="46"/>
    </row>
    <row r="72" spans="1:32" s="58" customFormat="1" ht="12.75">
      <c r="A72" s="57">
        <f t="shared" si="12"/>
        <v>138</v>
      </c>
      <c r="B72" s="4"/>
      <c r="C72" s="4" t="s">
        <v>332</v>
      </c>
      <c r="D72" s="4" t="s">
        <v>333</v>
      </c>
      <c r="E72" s="57" t="s">
        <v>255</v>
      </c>
      <c r="F72" s="17">
        <v>112.2</v>
      </c>
      <c r="G72" s="68">
        <v>0</v>
      </c>
      <c r="H72" s="17">
        <f t="shared" si="13"/>
        <v>0</v>
      </c>
      <c r="I72" s="17">
        <v>0</v>
      </c>
      <c r="J72" s="17">
        <f t="shared" si="14"/>
        <v>0</v>
      </c>
      <c r="O72" s="66"/>
      <c r="W72" s="61"/>
      <c r="AE72" s="46"/>
      <c r="AF72" s="46"/>
    </row>
    <row r="73" spans="1:32" s="58" customFormat="1" ht="12.75">
      <c r="A73" s="57">
        <f t="shared" si="12"/>
        <v>139</v>
      </c>
      <c r="B73" s="4"/>
      <c r="C73" s="4" t="s">
        <v>174</v>
      </c>
      <c r="D73" s="4" t="s">
        <v>225</v>
      </c>
      <c r="E73" s="4" t="s">
        <v>255</v>
      </c>
      <c r="F73" s="17">
        <v>112.2</v>
      </c>
      <c r="G73" s="68">
        <v>0</v>
      </c>
      <c r="H73" s="17">
        <f t="shared" si="13"/>
        <v>0</v>
      </c>
      <c r="I73" s="17">
        <v>0.27994</v>
      </c>
      <c r="J73" s="17">
        <f t="shared" si="14"/>
        <v>31.409268000000004</v>
      </c>
      <c r="O73" s="66"/>
      <c r="W73" s="61"/>
      <c r="AE73" s="46"/>
      <c r="AF73" s="46"/>
    </row>
    <row r="74" spans="1:32" s="58" customFormat="1" ht="12.75">
      <c r="A74" s="57">
        <f t="shared" si="12"/>
        <v>140</v>
      </c>
      <c r="B74" s="4"/>
      <c r="C74" s="4" t="s">
        <v>186</v>
      </c>
      <c r="D74" s="4" t="s">
        <v>334</v>
      </c>
      <c r="E74" s="4" t="s">
        <v>255</v>
      </c>
      <c r="F74" s="17">
        <v>112.2</v>
      </c>
      <c r="G74" s="68">
        <v>0</v>
      </c>
      <c r="H74" s="17">
        <f t="shared" si="13"/>
        <v>0</v>
      </c>
      <c r="I74" s="17">
        <v>0.18907</v>
      </c>
      <c r="J74" s="17">
        <f t="shared" si="14"/>
        <v>21.213654</v>
      </c>
      <c r="O74" s="66"/>
      <c r="W74" s="61"/>
      <c r="AE74" s="46"/>
      <c r="AF74" s="46"/>
    </row>
    <row r="75" spans="1:32" s="58" customFormat="1" ht="12.75">
      <c r="A75" s="57">
        <f t="shared" si="12"/>
        <v>141</v>
      </c>
      <c r="B75" s="4"/>
      <c r="C75" s="4" t="s">
        <v>175</v>
      </c>
      <c r="D75" s="4" t="s">
        <v>208</v>
      </c>
      <c r="E75" s="4" t="s">
        <v>256</v>
      </c>
      <c r="F75" s="17">
        <v>188</v>
      </c>
      <c r="G75" s="68">
        <v>0</v>
      </c>
      <c r="H75" s="17">
        <f t="shared" si="13"/>
        <v>0</v>
      </c>
      <c r="I75" s="17">
        <v>0.14424</v>
      </c>
      <c r="J75" s="17">
        <f t="shared" si="14"/>
        <v>27.11712</v>
      </c>
      <c r="O75" s="66"/>
      <c r="W75" s="61"/>
      <c r="AE75" s="46"/>
      <c r="AF75" s="46"/>
    </row>
    <row r="76" spans="1:32" s="58" customFormat="1" ht="12.75">
      <c r="A76" s="57">
        <f t="shared" si="12"/>
        <v>142</v>
      </c>
      <c r="B76" s="5"/>
      <c r="C76" s="5" t="s">
        <v>176</v>
      </c>
      <c r="D76" s="5" t="s">
        <v>209</v>
      </c>
      <c r="E76" s="5" t="s">
        <v>258</v>
      </c>
      <c r="F76" s="18">
        <v>660</v>
      </c>
      <c r="G76" s="68">
        <v>0</v>
      </c>
      <c r="H76" s="17">
        <f t="shared" si="13"/>
        <v>0</v>
      </c>
      <c r="I76" s="18">
        <v>0.0052</v>
      </c>
      <c r="J76" s="18">
        <f t="shared" si="14"/>
        <v>3.432</v>
      </c>
      <c r="O76" s="66"/>
      <c r="W76" s="61"/>
      <c r="AE76" s="46"/>
      <c r="AF76" s="46"/>
    </row>
    <row r="77" spans="1:32" s="58" customFormat="1" ht="12.75">
      <c r="A77" s="57">
        <f>A76+1</f>
        <v>143</v>
      </c>
      <c r="B77" s="5"/>
      <c r="C77" s="4" t="s">
        <v>195</v>
      </c>
      <c r="D77" s="57" t="s">
        <v>344</v>
      </c>
      <c r="E77" s="4" t="s">
        <v>255</v>
      </c>
      <c r="F77" s="17">
        <v>112.2</v>
      </c>
      <c r="G77" s="68">
        <v>0</v>
      </c>
      <c r="H77" s="17">
        <f t="shared" si="13"/>
        <v>0</v>
      </c>
      <c r="I77" s="17">
        <v>0.2334</v>
      </c>
      <c r="J77" s="17">
        <f t="shared" si="14"/>
        <v>26.18748</v>
      </c>
      <c r="O77" s="66"/>
      <c r="W77" s="61"/>
      <c r="AE77" s="46"/>
      <c r="AF77" s="46"/>
    </row>
    <row r="78" spans="1:32" s="58" customFormat="1" ht="12.75">
      <c r="A78" s="64">
        <f t="shared" si="12"/>
        <v>144</v>
      </c>
      <c r="B78" s="5"/>
      <c r="C78" s="4" t="s">
        <v>196</v>
      </c>
      <c r="D78" s="4" t="s">
        <v>237</v>
      </c>
      <c r="E78" s="4" t="s">
        <v>255</v>
      </c>
      <c r="F78" s="17">
        <v>45</v>
      </c>
      <c r="G78" s="68">
        <v>0</v>
      </c>
      <c r="H78" s="17">
        <f t="shared" si="13"/>
        <v>0</v>
      </c>
      <c r="I78" s="17">
        <v>0.1</v>
      </c>
      <c r="J78" s="17">
        <f t="shared" si="14"/>
        <v>4.5</v>
      </c>
      <c r="O78" s="66"/>
      <c r="W78" s="61"/>
      <c r="AE78" s="46"/>
      <c r="AF78" s="46"/>
    </row>
    <row r="79" spans="1:32" s="58" customFormat="1" ht="12.75">
      <c r="A79" s="64">
        <f t="shared" si="12"/>
        <v>145</v>
      </c>
      <c r="B79" s="4"/>
      <c r="C79" s="4" t="s">
        <v>181</v>
      </c>
      <c r="D79" s="4" t="s">
        <v>214</v>
      </c>
      <c r="E79" s="4" t="s">
        <v>259</v>
      </c>
      <c r="F79" s="17">
        <v>61.54</v>
      </c>
      <c r="G79" s="68">
        <v>0</v>
      </c>
      <c r="H79" s="17">
        <f t="shared" si="13"/>
        <v>0</v>
      </c>
      <c r="I79" s="17">
        <v>0</v>
      </c>
      <c r="J79" s="17">
        <f t="shared" si="14"/>
        <v>0</v>
      </c>
      <c r="L79" s="58">
        <v>0.5190476190476191</v>
      </c>
      <c r="M79" s="58" t="s">
        <v>329</v>
      </c>
      <c r="O79" s="66"/>
      <c r="W79" s="61"/>
      <c r="AE79" s="46"/>
      <c r="AF79" s="46"/>
    </row>
    <row r="80" spans="1:32" s="58" customFormat="1" ht="12.75">
      <c r="A80" s="64">
        <f t="shared" si="12"/>
        <v>146</v>
      </c>
      <c r="B80" s="4"/>
      <c r="C80" s="4" t="s">
        <v>182</v>
      </c>
      <c r="D80" s="4" t="s">
        <v>215</v>
      </c>
      <c r="E80" s="4" t="s">
        <v>259</v>
      </c>
      <c r="F80" s="17">
        <v>147.97</v>
      </c>
      <c r="G80" s="68">
        <v>0</v>
      </c>
      <c r="H80" s="17">
        <f>F80*G80</f>
        <v>0</v>
      </c>
      <c r="I80" s="17">
        <v>0</v>
      </c>
      <c r="J80" s="17">
        <f t="shared" si="14"/>
        <v>0</v>
      </c>
      <c r="O80" s="66"/>
      <c r="W80" s="61"/>
      <c r="AE80" s="46"/>
      <c r="AF80" s="46"/>
    </row>
    <row r="81" spans="1:32" ht="12.75">
      <c r="A81" s="41"/>
      <c r="B81" s="41" t="s">
        <v>357</v>
      </c>
      <c r="C81" s="41"/>
      <c r="D81" s="41" t="s">
        <v>355</v>
      </c>
      <c r="E81" s="41" t="s">
        <v>6</v>
      </c>
      <c r="F81" s="41" t="s">
        <v>6</v>
      </c>
      <c r="G81" s="62"/>
      <c r="H81" s="45">
        <f>SUM(H82:H94)</f>
        <v>0</v>
      </c>
      <c r="I81" s="42" t="s">
        <v>6</v>
      </c>
      <c r="J81" s="45">
        <f>SUM(J82:J94)</f>
        <v>206.45512899999997</v>
      </c>
      <c r="W81" s="67"/>
      <c r="X81" s="58"/>
      <c r="AE81" s="46"/>
      <c r="AF81" s="46"/>
    </row>
    <row r="82" spans="1:32" s="58" customFormat="1" ht="12.75">
      <c r="A82" s="57" t="s">
        <v>153</v>
      </c>
      <c r="B82" s="4"/>
      <c r="C82" s="57" t="s">
        <v>382</v>
      </c>
      <c r="D82" s="57" t="s">
        <v>383</v>
      </c>
      <c r="E82" s="4" t="s">
        <v>255</v>
      </c>
      <c r="F82" s="17">
        <v>111.3</v>
      </c>
      <c r="G82" s="68">
        <v>0</v>
      </c>
      <c r="H82" s="17">
        <f>F82*G82</f>
        <v>0</v>
      </c>
      <c r="I82" s="17">
        <v>0.37</v>
      </c>
      <c r="J82" s="17">
        <f>I82*F82</f>
        <v>41.181</v>
      </c>
      <c r="O82" s="66"/>
      <c r="W82" s="61"/>
      <c r="AE82" s="46"/>
      <c r="AF82" s="46"/>
    </row>
    <row r="83" spans="1:32" s="58" customFormat="1" ht="12.75">
      <c r="A83" s="57">
        <f aca="true" t="shared" si="15" ref="A83:A94">A82+1</f>
        <v>148</v>
      </c>
      <c r="B83" s="4"/>
      <c r="C83" s="4" t="s">
        <v>374</v>
      </c>
      <c r="D83" s="57" t="s">
        <v>384</v>
      </c>
      <c r="E83" s="57" t="s">
        <v>255</v>
      </c>
      <c r="F83" s="17">
        <v>111.3</v>
      </c>
      <c r="G83" s="68">
        <v>0</v>
      </c>
      <c r="H83" s="17">
        <f>F83*G83</f>
        <v>0</v>
      </c>
      <c r="I83" s="17">
        <v>0.14</v>
      </c>
      <c r="J83" s="17">
        <f>I83*F83</f>
        <v>15.582</v>
      </c>
      <c r="O83" s="66"/>
      <c r="W83" s="61"/>
      <c r="AE83" s="46"/>
      <c r="AF83" s="46"/>
    </row>
    <row r="84" spans="1:32" s="58" customFormat="1" ht="12.75">
      <c r="A84" s="57">
        <f t="shared" si="15"/>
        <v>149</v>
      </c>
      <c r="B84" s="4"/>
      <c r="C84" s="4" t="s">
        <v>172</v>
      </c>
      <c r="D84" s="4" t="s">
        <v>205</v>
      </c>
      <c r="E84" s="4" t="s">
        <v>256</v>
      </c>
      <c r="F84" s="17">
        <v>185.4</v>
      </c>
      <c r="G84" s="68">
        <v>0</v>
      </c>
      <c r="H84" s="17">
        <f aca="true" t="shared" si="16" ref="H84:H93">F84*G84</f>
        <v>0</v>
      </c>
      <c r="I84" s="17">
        <v>0.017</v>
      </c>
      <c r="J84" s="17">
        <f aca="true" t="shared" si="17" ref="J84:J94">I84*F84</f>
        <v>3.1518</v>
      </c>
      <c r="O84" s="66"/>
      <c r="W84" s="61"/>
      <c r="AE84" s="46"/>
      <c r="AF84" s="46"/>
    </row>
    <row r="85" spans="1:32" s="58" customFormat="1" ht="12.75">
      <c r="A85" s="57">
        <f t="shared" si="15"/>
        <v>150</v>
      </c>
      <c r="B85" s="4"/>
      <c r="C85" s="4" t="s">
        <v>173</v>
      </c>
      <c r="D85" s="4" t="s">
        <v>206</v>
      </c>
      <c r="E85" s="4" t="s">
        <v>257</v>
      </c>
      <c r="F85" s="17">
        <v>21.15</v>
      </c>
      <c r="G85" s="68">
        <v>0</v>
      </c>
      <c r="H85" s="17">
        <f t="shared" si="16"/>
        <v>0</v>
      </c>
      <c r="I85" s="17">
        <v>1.6</v>
      </c>
      <c r="J85" s="17">
        <f t="shared" si="17"/>
        <v>33.839999999999996</v>
      </c>
      <c r="O85" s="66"/>
      <c r="W85" s="61"/>
      <c r="AE85" s="46"/>
      <c r="AF85" s="46"/>
    </row>
    <row r="86" spans="1:32" s="58" customFormat="1" ht="12.75">
      <c r="A86" s="57">
        <f t="shared" si="15"/>
        <v>151</v>
      </c>
      <c r="B86" s="4"/>
      <c r="C86" s="4" t="s">
        <v>332</v>
      </c>
      <c r="D86" s="4" t="s">
        <v>333</v>
      </c>
      <c r="E86" s="57" t="s">
        <v>255</v>
      </c>
      <c r="F86" s="17">
        <v>111.3</v>
      </c>
      <c r="G86" s="68">
        <v>0</v>
      </c>
      <c r="H86" s="17">
        <f t="shared" si="16"/>
        <v>0</v>
      </c>
      <c r="I86" s="17">
        <v>0</v>
      </c>
      <c r="J86" s="17">
        <f t="shared" si="17"/>
        <v>0</v>
      </c>
      <c r="O86" s="66"/>
      <c r="W86" s="61"/>
      <c r="AE86" s="46"/>
      <c r="AF86" s="46"/>
    </row>
    <row r="87" spans="1:32" s="58" customFormat="1" ht="12.75">
      <c r="A87" s="57">
        <f t="shared" si="15"/>
        <v>152</v>
      </c>
      <c r="B87" s="4"/>
      <c r="C87" s="4" t="s">
        <v>174</v>
      </c>
      <c r="D87" s="4" t="s">
        <v>225</v>
      </c>
      <c r="E87" s="4" t="s">
        <v>255</v>
      </c>
      <c r="F87" s="17">
        <v>111.3</v>
      </c>
      <c r="G87" s="68">
        <v>0</v>
      </c>
      <c r="H87" s="17">
        <f t="shared" si="16"/>
        <v>0</v>
      </c>
      <c r="I87" s="17">
        <v>0.27994</v>
      </c>
      <c r="J87" s="17">
        <f t="shared" si="17"/>
        <v>31.157322</v>
      </c>
      <c r="O87" s="66"/>
      <c r="W87" s="61"/>
      <c r="AE87" s="46"/>
      <c r="AF87" s="46"/>
    </row>
    <row r="88" spans="1:32" s="58" customFormat="1" ht="12.75">
      <c r="A88" s="57">
        <f t="shared" si="15"/>
        <v>153</v>
      </c>
      <c r="B88" s="4"/>
      <c r="C88" s="4" t="s">
        <v>186</v>
      </c>
      <c r="D88" s="4" t="s">
        <v>334</v>
      </c>
      <c r="E88" s="4" t="s">
        <v>255</v>
      </c>
      <c r="F88" s="17">
        <v>111.3</v>
      </c>
      <c r="G88" s="68">
        <v>0</v>
      </c>
      <c r="H88" s="17">
        <f t="shared" si="16"/>
        <v>0</v>
      </c>
      <c r="I88" s="17">
        <v>0.18907</v>
      </c>
      <c r="J88" s="17">
        <f t="shared" si="17"/>
        <v>21.043491</v>
      </c>
      <c r="O88" s="66"/>
      <c r="W88" s="61"/>
      <c r="AE88" s="46"/>
      <c r="AF88" s="46"/>
    </row>
    <row r="89" spans="1:32" s="58" customFormat="1" ht="12.75">
      <c r="A89" s="57">
        <f t="shared" si="15"/>
        <v>154</v>
      </c>
      <c r="B89" s="4"/>
      <c r="C89" s="4" t="s">
        <v>175</v>
      </c>
      <c r="D89" s="4" t="s">
        <v>208</v>
      </c>
      <c r="E89" s="4" t="s">
        <v>256</v>
      </c>
      <c r="F89" s="17">
        <v>185.4</v>
      </c>
      <c r="G89" s="68">
        <v>0</v>
      </c>
      <c r="H89" s="17">
        <f t="shared" si="16"/>
        <v>0</v>
      </c>
      <c r="I89" s="17">
        <v>0.14424</v>
      </c>
      <c r="J89" s="17">
        <f t="shared" si="17"/>
        <v>26.742096000000004</v>
      </c>
      <c r="O89" s="66"/>
      <c r="W89" s="61"/>
      <c r="AE89" s="46"/>
      <c r="AF89" s="46"/>
    </row>
    <row r="90" spans="1:32" s="58" customFormat="1" ht="12.75">
      <c r="A90" s="57">
        <f t="shared" si="15"/>
        <v>155</v>
      </c>
      <c r="B90" s="5"/>
      <c r="C90" s="5" t="s">
        <v>176</v>
      </c>
      <c r="D90" s="5" t="s">
        <v>209</v>
      </c>
      <c r="E90" s="5" t="s">
        <v>258</v>
      </c>
      <c r="F90" s="18">
        <v>650</v>
      </c>
      <c r="G90" s="68">
        <v>0</v>
      </c>
      <c r="H90" s="17">
        <f t="shared" si="16"/>
        <v>0</v>
      </c>
      <c r="I90" s="18">
        <v>0.0052</v>
      </c>
      <c r="J90" s="18">
        <f t="shared" si="17"/>
        <v>3.38</v>
      </c>
      <c r="O90" s="66"/>
      <c r="W90" s="61"/>
      <c r="AE90" s="46"/>
      <c r="AF90" s="46"/>
    </row>
    <row r="91" spans="1:32" s="58" customFormat="1" ht="12.75">
      <c r="A91" s="57">
        <f t="shared" si="15"/>
        <v>156</v>
      </c>
      <c r="B91" s="5"/>
      <c r="C91" s="4" t="s">
        <v>195</v>
      </c>
      <c r="D91" s="57" t="s">
        <v>344</v>
      </c>
      <c r="E91" s="4" t="s">
        <v>255</v>
      </c>
      <c r="F91" s="17">
        <v>111.3</v>
      </c>
      <c r="G91" s="68">
        <v>0</v>
      </c>
      <c r="H91" s="17">
        <f t="shared" si="16"/>
        <v>0</v>
      </c>
      <c r="I91" s="17">
        <v>0.2334</v>
      </c>
      <c r="J91" s="17">
        <f t="shared" si="17"/>
        <v>25.97742</v>
      </c>
      <c r="O91" s="66"/>
      <c r="W91" s="61"/>
      <c r="AE91" s="46"/>
      <c r="AF91" s="46"/>
    </row>
    <row r="92" spans="1:32" s="58" customFormat="1" ht="12.75">
      <c r="A92" s="57">
        <f t="shared" si="15"/>
        <v>157</v>
      </c>
      <c r="B92" s="5"/>
      <c r="C92" s="4" t="s">
        <v>196</v>
      </c>
      <c r="D92" s="4" t="s">
        <v>237</v>
      </c>
      <c r="E92" s="4" t="s">
        <v>255</v>
      </c>
      <c r="F92" s="17">
        <v>44</v>
      </c>
      <c r="G92" s="68">
        <v>0</v>
      </c>
      <c r="H92" s="17">
        <f t="shared" si="16"/>
        <v>0</v>
      </c>
      <c r="I92" s="17">
        <v>0.1</v>
      </c>
      <c r="J92" s="17">
        <f t="shared" si="17"/>
        <v>4.4</v>
      </c>
      <c r="O92" s="66"/>
      <c r="W92" s="61"/>
      <c r="AE92" s="46"/>
      <c r="AF92" s="46"/>
    </row>
    <row r="93" spans="1:32" s="58" customFormat="1" ht="12.75">
      <c r="A93" s="57">
        <f t="shared" si="15"/>
        <v>158</v>
      </c>
      <c r="B93" s="4"/>
      <c r="C93" s="4" t="s">
        <v>181</v>
      </c>
      <c r="D93" s="4" t="s">
        <v>214</v>
      </c>
      <c r="E93" s="4" t="s">
        <v>259</v>
      </c>
      <c r="F93" s="17">
        <v>61.03</v>
      </c>
      <c r="G93" s="68">
        <v>0</v>
      </c>
      <c r="H93" s="17">
        <f t="shared" si="16"/>
        <v>0</v>
      </c>
      <c r="I93" s="17">
        <v>0</v>
      </c>
      <c r="J93" s="17">
        <f t="shared" si="17"/>
        <v>0</v>
      </c>
      <c r="L93" s="58">
        <v>0.5190476190476191</v>
      </c>
      <c r="M93" s="58" t="s">
        <v>329</v>
      </c>
      <c r="O93" s="66"/>
      <c r="W93" s="61"/>
      <c r="AE93" s="46"/>
      <c r="AF93" s="46"/>
    </row>
    <row r="94" spans="1:32" s="58" customFormat="1" ht="12.75">
      <c r="A94" s="57">
        <f t="shared" si="15"/>
        <v>159</v>
      </c>
      <c r="B94" s="4"/>
      <c r="C94" s="4" t="s">
        <v>182</v>
      </c>
      <c r="D94" s="4" t="s">
        <v>215</v>
      </c>
      <c r="E94" s="4" t="s">
        <v>259</v>
      </c>
      <c r="F94" s="17">
        <v>147.97</v>
      </c>
      <c r="G94" s="68">
        <v>0</v>
      </c>
      <c r="H94" s="17">
        <f>F94*G94</f>
        <v>0</v>
      </c>
      <c r="I94" s="17">
        <v>0</v>
      </c>
      <c r="J94" s="17">
        <f t="shared" si="17"/>
        <v>0</v>
      </c>
      <c r="O94" s="66"/>
      <c r="W94" s="61"/>
      <c r="AE94" s="46"/>
      <c r="AF94" s="46"/>
    </row>
    <row r="95" spans="1:32" ht="12.75">
      <c r="A95" s="41"/>
      <c r="B95" s="59" t="s">
        <v>367</v>
      </c>
      <c r="C95" s="41"/>
      <c r="D95" s="41" t="s">
        <v>355</v>
      </c>
      <c r="E95" s="41" t="s">
        <v>6</v>
      </c>
      <c r="F95" s="41" t="s">
        <v>6</v>
      </c>
      <c r="G95" s="62"/>
      <c r="H95" s="45">
        <f>SUM(H96:H108)</f>
        <v>0</v>
      </c>
      <c r="I95" s="42" t="s">
        <v>6</v>
      </c>
      <c r="J95" s="45">
        <f>SUM(J96:J108)</f>
        <v>198.39409799999999</v>
      </c>
      <c r="W95" s="67"/>
      <c r="X95" s="58"/>
      <c r="AE95" s="46"/>
      <c r="AF95" s="46"/>
    </row>
    <row r="96" spans="1:32" s="58" customFormat="1" ht="12.75">
      <c r="A96" s="57" t="s">
        <v>166</v>
      </c>
      <c r="B96" s="4"/>
      <c r="C96" s="57" t="s">
        <v>382</v>
      </c>
      <c r="D96" s="57" t="s">
        <v>383</v>
      </c>
      <c r="E96" s="4" t="s">
        <v>255</v>
      </c>
      <c r="F96" s="17">
        <v>105.8</v>
      </c>
      <c r="G96" s="68">
        <v>0</v>
      </c>
      <c r="H96" s="17">
        <f>F96*G96</f>
        <v>0</v>
      </c>
      <c r="I96" s="17">
        <v>0.37</v>
      </c>
      <c r="J96" s="17">
        <f>I96*F96</f>
        <v>39.146</v>
      </c>
      <c r="O96" s="66"/>
      <c r="W96" s="61"/>
      <c r="AE96" s="46"/>
      <c r="AF96" s="46"/>
    </row>
    <row r="97" spans="1:32" s="58" customFormat="1" ht="12.75">
      <c r="A97" s="57">
        <f aca="true" t="shared" si="18" ref="A97:A108">A96+1</f>
        <v>161</v>
      </c>
      <c r="B97" s="4"/>
      <c r="C97" s="4" t="s">
        <v>374</v>
      </c>
      <c r="D97" s="57" t="s">
        <v>384</v>
      </c>
      <c r="E97" s="57" t="s">
        <v>255</v>
      </c>
      <c r="F97" s="17">
        <v>105.8</v>
      </c>
      <c r="G97" s="68">
        <v>0</v>
      </c>
      <c r="H97" s="17">
        <f>F97*G97</f>
        <v>0</v>
      </c>
      <c r="I97" s="17">
        <v>0.14</v>
      </c>
      <c r="J97" s="17">
        <f>I97*F97</f>
        <v>14.812000000000001</v>
      </c>
      <c r="O97" s="66"/>
      <c r="W97" s="61"/>
      <c r="AE97" s="46"/>
      <c r="AF97" s="46"/>
    </row>
    <row r="98" spans="1:32" s="58" customFormat="1" ht="12.75">
      <c r="A98" s="57">
        <f t="shared" si="18"/>
        <v>162</v>
      </c>
      <c r="B98" s="4"/>
      <c r="C98" s="4" t="s">
        <v>172</v>
      </c>
      <c r="D98" s="4" t="s">
        <v>205</v>
      </c>
      <c r="E98" s="4" t="s">
        <v>256</v>
      </c>
      <c r="F98" s="17">
        <v>188</v>
      </c>
      <c r="G98" s="68">
        <v>0</v>
      </c>
      <c r="H98" s="17">
        <f aca="true" t="shared" si="19" ref="H98:H107">F98*G98</f>
        <v>0</v>
      </c>
      <c r="I98" s="17">
        <v>0.017</v>
      </c>
      <c r="J98" s="17">
        <f aca="true" t="shared" si="20" ref="J98:J108">I98*F98</f>
        <v>3.196</v>
      </c>
      <c r="O98" s="66"/>
      <c r="W98" s="61"/>
      <c r="AE98" s="46"/>
      <c r="AF98" s="46"/>
    </row>
    <row r="99" spans="1:32" s="58" customFormat="1" ht="12.75">
      <c r="A99" s="57">
        <f t="shared" si="18"/>
        <v>163</v>
      </c>
      <c r="B99" s="4"/>
      <c r="C99" s="4" t="s">
        <v>173</v>
      </c>
      <c r="D99" s="4" t="s">
        <v>206</v>
      </c>
      <c r="E99" s="4" t="s">
        <v>257</v>
      </c>
      <c r="F99" s="17">
        <v>20.11</v>
      </c>
      <c r="G99" s="68">
        <v>0</v>
      </c>
      <c r="H99" s="17">
        <f t="shared" si="19"/>
        <v>0</v>
      </c>
      <c r="I99" s="17">
        <v>1.6</v>
      </c>
      <c r="J99" s="17">
        <f t="shared" si="20"/>
        <v>32.176</v>
      </c>
      <c r="O99" s="66"/>
      <c r="W99" s="61"/>
      <c r="AE99" s="46"/>
      <c r="AF99" s="46"/>
    </row>
    <row r="100" spans="1:32" s="58" customFormat="1" ht="12.75">
      <c r="A100" s="57">
        <f t="shared" si="18"/>
        <v>164</v>
      </c>
      <c r="B100" s="4"/>
      <c r="C100" s="4" t="s">
        <v>332</v>
      </c>
      <c r="D100" s="4" t="s">
        <v>333</v>
      </c>
      <c r="E100" s="57" t="s">
        <v>255</v>
      </c>
      <c r="F100" s="17">
        <v>105.8</v>
      </c>
      <c r="G100" s="68">
        <v>0</v>
      </c>
      <c r="H100" s="17">
        <f t="shared" si="19"/>
        <v>0</v>
      </c>
      <c r="I100" s="17">
        <v>0</v>
      </c>
      <c r="J100" s="17">
        <f t="shared" si="20"/>
        <v>0</v>
      </c>
      <c r="O100" s="66"/>
      <c r="W100" s="61"/>
      <c r="AE100" s="46"/>
      <c r="AF100" s="46"/>
    </row>
    <row r="101" spans="1:32" s="58" customFormat="1" ht="12.75">
      <c r="A101" s="57">
        <f t="shared" si="18"/>
        <v>165</v>
      </c>
      <c r="B101" s="4"/>
      <c r="C101" s="4" t="s">
        <v>174</v>
      </c>
      <c r="D101" s="4" t="s">
        <v>225</v>
      </c>
      <c r="E101" s="4" t="s">
        <v>255</v>
      </c>
      <c r="F101" s="17">
        <v>105.8</v>
      </c>
      <c r="G101" s="68">
        <v>0</v>
      </c>
      <c r="H101" s="17">
        <f t="shared" si="19"/>
        <v>0</v>
      </c>
      <c r="I101" s="17">
        <v>0.27994</v>
      </c>
      <c r="J101" s="17">
        <f t="shared" si="20"/>
        <v>29.617652000000003</v>
      </c>
      <c r="O101" s="66"/>
      <c r="W101" s="61"/>
      <c r="AE101" s="46"/>
      <c r="AF101" s="46"/>
    </row>
    <row r="102" spans="1:32" s="58" customFormat="1" ht="12.75">
      <c r="A102" s="57">
        <f t="shared" si="18"/>
        <v>166</v>
      </c>
      <c r="B102" s="4"/>
      <c r="C102" s="4" t="s">
        <v>186</v>
      </c>
      <c r="D102" s="4" t="s">
        <v>334</v>
      </c>
      <c r="E102" s="4" t="s">
        <v>255</v>
      </c>
      <c r="F102" s="17">
        <v>105.8</v>
      </c>
      <c r="G102" s="68">
        <v>0</v>
      </c>
      <c r="H102" s="17">
        <f t="shared" si="19"/>
        <v>0</v>
      </c>
      <c r="I102" s="17">
        <v>0.18907</v>
      </c>
      <c r="J102" s="17">
        <f t="shared" si="20"/>
        <v>20.003605999999998</v>
      </c>
      <c r="O102" s="66"/>
      <c r="W102" s="61"/>
      <c r="AE102" s="46"/>
      <c r="AF102" s="46"/>
    </row>
    <row r="103" spans="1:32" s="58" customFormat="1" ht="12.75">
      <c r="A103" s="57">
        <f t="shared" si="18"/>
        <v>167</v>
      </c>
      <c r="B103" s="4"/>
      <c r="C103" s="4" t="s">
        <v>175</v>
      </c>
      <c r="D103" s="4" t="s">
        <v>208</v>
      </c>
      <c r="E103" s="4" t="s">
        <v>256</v>
      </c>
      <c r="F103" s="17">
        <v>188</v>
      </c>
      <c r="G103" s="68">
        <v>0</v>
      </c>
      <c r="H103" s="17">
        <f t="shared" si="19"/>
        <v>0</v>
      </c>
      <c r="I103" s="17">
        <v>0.14424</v>
      </c>
      <c r="J103" s="17">
        <f t="shared" si="20"/>
        <v>27.11712</v>
      </c>
      <c r="O103" s="66"/>
      <c r="W103" s="61"/>
      <c r="AE103" s="46"/>
      <c r="AF103" s="46"/>
    </row>
    <row r="104" spans="1:32" s="58" customFormat="1" ht="12.75">
      <c r="A104" s="57">
        <f t="shared" si="18"/>
        <v>168</v>
      </c>
      <c r="B104" s="5"/>
      <c r="C104" s="5" t="s">
        <v>176</v>
      </c>
      <c r="D104" s="5" t="s">
        <v>209</v>
      </c>
      <c r="E104" s="5" t="s">
        <v>258</v>
      </c>
      <c r="F104" s="18">
        <v>660</v>
      </c>
      <c r="G104" s="68">
        <v>0</v>
      </c>
      <c r="H104" s="17">
        <f t="shared" si="19"/>
        <v>0</v>
      </c>
      <c r="I104" s="18">
        <v>0.0052</v>
      </c>
      <c r="J104" s="18">
        <f t="shared" si="20"/>
        <v>3.432</v>
      </c>
      <c r="O104" s="66"/>
      <c r="W104" s="61"/>
      <c r="AE104" s="46"/>
      <c r="AF104" s="46"/>
    </row>
    <row r="105" spans="1:32" s="58" customFormat="1" ht="12.75">
      <c r="A105" s="57">
        <f t="shared" si="18"/>
        <v>169</v>
      </c>
      <c r="B105" s="5"/>
      <c r="C105" s="4" t="s">
        <v>195</v>
      </c>
      <c r="D105" s="57" t="s">
        <v>344</v>
      </c>
      <c r="E105" s="4" t="s">
        <v>255</v>
      </c>
      <c r="F105" s="17">
        <v>105.8</v>
      </c>
      <c r="G105" s="68">
        <v>0</v>
      </c>
      <c r="H105" s="17">
        <f t="shared" si="19"/>
        <v>0</v>
      </c>
      <c r="I105" s="17">
        <v>0.2334</v>
      </c>
      <c r="J105" s="17">
        <f t="shared" si="20"/>
        <v>24.69372</v>
      </c>
      <c r="O105" s="66"/>
      <c r="W105" s="61"/>
      <c r="AE105" s="46"/>
      <c r="AF105" s="46"/>
    </row>
    <row r="106" spans="1:32" s="58" customFormat="1" ht="12.75">
      <c r="A106" s="57">
        <f t="shared" si="18"/>
        <v>170</v>
      </c>
      <c r="B106" s="5"/>
      <c r="C106" s="4" t="s">
        <v>196</v>
      </c>
      <c r="D106" s="4" t="s">
        <v>237</v>
      </c>
      <c r="E106" s="4" t="s">
        <v>255</v>
      </c>
      <c r="F106" s="17">
        <v>42</v>
      </c>
      <c r="G106" s="68">
        <v>0</v>
      </c>
      <c r="H106" s="17">
        <f t="shared" si="19"/>
        <v>0</v>
      </c>
      <c r="I106" s="17">
        <v>0.1</v>
      </c>
      <c r="J106" s="17">
        <f t="shared" si="20"/>
        <v>4.2</v>
      </c>
      <c r="O106" s="66"/>
      <c r="W106" s="61"/>
      <c r="AE106" s="46"/>
      <c r="AF106" s="46"/>
    </row>
    <row r="107" spans="1:32" s="58" customFormat="1" ht="12.75">
      <c r="A107" s="57">
        <f t="shared" si="18"/>
        <v>171</v>
      </c>
      <c r="B107" s="4"/>
      <c r="C107" s="4" t="s">
        <v>181</v>
      </c>
      <c r="D107" s="4" t="s">
        <v>214</v>
      </c>
      <c r="E107" s="4" t="s">
        <v>259</v>
      </c>
      <c r="F107" s="17">
        <f>F96*L107</f>
        <v>54.915238095238095</v>
      </c>
      <c r="G107" s="68">
        <v>0</v>
      </c>
      <c r="H107" s="17">
        <f t="shared" si="19"/>
        <v>0</v>
      </c>
      <c r="I107" s="17">
        <v>0</v>
      </c>
      <c r="J107" s="17">
        <f t="shared" si="20"/>
        <v>0</v>
      </c>
      <c r="L107" s="58">
        <v>0.5190476190476191</v>
      </c>
      <c r="M107" s="58" t="s">
        <v>329</v>
      </c>
      <c r="O107" s="66"/>
      <c r="W107" s="61"/>
      <c r="AE107" s="46"/>
      <c r="AF107" s="46"/>
    </row>
    <row r="108" spans="1:32" s="58" customFormat="1" ht="12.75">
      <c r="A108" s="57">
        <f t="shared" si="18"/>
        <v>172</v>
      </c>
      <c r="B108" s="4"/>
      <c r="C108" s="4" t="s">
        <v>182</v>
      </c>
      <c r="D108" s="4" t="s">
        <v>215</v>
      </c>
      <c r="E108" s="4" t="s">
        <v>259</v>
      </c>
      <c r="F108" s="17">
        <v>141.44</v>
      </c>
      <c r="G108" s="68">
        <v>0</v>
      </c>
      <c r="H108" s="17">
        <f>F108*G108</f>
        <v>0</v>
      </c>
      <c r="I108" s="17">
        <v>0</v>
      </c>
      <c r="J108" s="17">
        <f t="shared" si="20"/>
        <v>0</v>
      </c>
      <c r="O108" s="66"/>
      <c r="W108" s="61"/>
      <c r="AE108" s="46"/>
      <c r="AF108" s="46"/>
    </row>
    <row r="109" spans="1:32" ht="12.75">
      <c r="A109" s="41"/>
      <c r="B109" s="59" t="s">
        <v>368</v>
      </c>
      <c r="C109" s="41"/>
      <c r="D109" s="41" t="s">
        <v>355</v>
      </c>
      <c r="E109" s="41" t="s">
        <v>6</v>
      </c>
      <c r="F109" s="41" t="s">
        <v>6</v>
      </c>
      <c r="G109" s="62"/>
      <c r="H109" s="45">
        <f>SUM(H110:H122)</f>
        <v>0</v>
      </c>
      <c r="I109" s="42" t="s">
        <v>6</v>
      </c>
      <c r="J109" s="45">
        <f>SUM(J110:J122)</f>
        <v>91.10453199999999</v>
      </c>
      <c r="W109" s="67"/>
      <c r="X109" s="58"/>
      <c r="AE109" s="46"/>
      <c r="AF109" s="46"/>
    </row>
    <row r="110" spans="1:32" s="58" customFormat="1" ht="12.75">
      <c r="A110" s="57" t="s">
        <v>392</v>
      </c>
      <c r="B110" s="4"/>
      <c r="C110" s="57" t="s">
        <v>382</v>
      </c>
      <c r="D110" s="57" t="s">
        <v>383</v>
      </c>
      <c r="E110" s="4" t="s">
        <v>255</v>
      </c>
      <c r="F110" s="17">
        <v>49.2</v>
      </c>
      <c r="G110" s="68">
        <v>0</v>
      </c>
      <c r="H110" s="17">
        <f>F110*G110</f>
        <v>0</v>
      </c>
      <c r="I110" s="17">
        <v>0.37</v>
      </c>
      <c r="J110" s="17">
        <f>I110*F110</f>
        <v>18.204</v>
      </c>
      <c r="O110" s="66"/>
      <c r="W110" s="61"/>
      <c r="AE110" s="46"/>
      <c r="AF110" s="46"/>
    </row>
    <row r="111" spans="1:32" s="58" customFormat="1" ht="12.75">
      <c r="A111" s="57">
        <f aca="true" t="shared" si="21" ref="A111:A122">A110+1</f>
        <v>174</v>
      </c>
      <c r="B111" s="4"/>
      <c r="C111" s="4" t="s">
        <v>374</v>
      </c>
      <c r="D111" s="57" t="s">
        <v>384</v>
      </c>
      <c r="E111" s="57" t="s">
        <v>255</v>
      </c>
      <c r="F111" s="17">
        <v>49.2</v>
      </c>
      <c r="G111" s="68">
        <v>0</v>
      </c>
      <c r="H111" s="17">
        <f>F111*G111</f>
        <v>0</v>
      </c>
      <c r="I111" s="17">
        <v>0.14</v>
      </c>
      <c r="J111" s="17">
        <f>I111*F111</f>
        <v>6.888000000000001</v>
      </c>
      <c r="O111" s="66"/>
      <c r="W111" s="61"/>
      <c r="AE111" s="46"/>
      <c r="AF111" s="46"/>
    </row>
    <row r="112" spans="1:32" s="58" customFormat="1" ht="12.75">
      <c r="A112" s="57">
        <f t="shared" si="21"/>
        <v>175</v>
      </c>
      <c r="B112" s="4"/>
      <c r="C112" s="4" t="s">
        <v>172</v>
      </c>
      <c r="D112" s="4" t="s">
        <v>205</v>
      </c>
      <c r="E112" s="4" t="s">
        <v>256</v>
      </c>
      <c r="F112" s="17">
        <v>79</v>
      </c>
      <c r="G112" s="68">
        <v>0</v>
      </c>
      <c r="H112" s="17">
        <f aca="true" t="shared" si="22" ref="H112:H121">F112*G112</f>
        <v>0</v>
      </c>
      <c r="I112" s="17">
        <v>0.017</v>
      </c>
      <c r="J112" s="17">
        <f aca="true" t="shared" si="23" ref="J112:J122">I112*F112</f>
        <v>1.3430000000000002</v>
      </c>
      <c r="O112" s="66"/>
      <c r="W112" s="61"/>
      <c r="AE112" s="46"/>
      <c r="AF112" s="46"/>
    </row>
    <row r="113" spans="1:32" s="58" customFormat="1" ht="12.75">
      <c r="A113" s="57">
        <f t="shared" si="21"/>
        <v>176</v>
      </c>
      <c r="B113" s="4"/>
      <c r="C113" s="4" t="s">
        <v>173</v>
      </c>
      <c r="D113" s="4" t="s">
        <v>206</v>
      </c>
      <c r="E113" s="4" t="s">
        <v>257</v>
      </c>
      <c r="F113" s="17">
        <v>9.35</v>
      </c>
      <c r="G113" s="68">
        <v>0</v>
      </c>
      <c r="H113" s="17">
        <f t="shared" si="22"/>
        <v>0</v>
      </c>
      <c r="I113" s="17">
        <v>1.6</v>
      </c>
      <c r="J113" s="17">
        <f t="shared" si="23"/>
        <v>14.96</v>
      </c>
      <c r="O113" s="66"/>
      <c r="W113" s="61"/>
      <c r="AE113" s="46"/>
      <c r="AF113" s="46"/>
    </row>
    <row r="114" spans="1:32" s="58" customFormat="1" ht="12.75">
      <c r="A114" s="57">
        <f t="shared" si="21"/>
        <v>177</v>
      </c>
      <c r="B114" s="4"/>
      <c r="C114" s="4" t="s">
        <v>332</v>
      </c>
      <c r="D114" s="4" t="s">
        <v>333</v>
      </c>
      <c r="E114" s="57" t="s">
        <v>255</v>
      </c>
      <c r="F114" s="17">
        <v>49.2</v>
      </c>
      <c r="G114" s="68">
        <v>0</v>
      </c>
      <c r="H114" s="17">
        <f t="shared" si="22"/>
        <v>0</v>
      </c>
      <c r="I114" s="17">
        <v>0</v>
      </c>
      <c r="J114" s="17">
        <f t="shared" si="23"/>
        <v>0</v>
      </c>
      <c r="O114" s="66"/>
      <c r="W114" s="61"/>
      <c r="AE114" s="46"/>
      <c r="AF114" s="46"/>
    </row>
    <row r="115" spans="1:32" s="58" customFormat="1" ht="12.75">
      <c r="A115" s="57">
        <f t="shared" si="21"/>
        <v>178</v>
      </c>
      <c r="B115" s="4"/>
      <c r="C115" s="4" t="s">
        <v>174</v>
      </c>
      <c r="D115" s="4" t="s">
        <v>225</v>
      </c>
      <c r="E115" s="4" t="s">
        <v>255</v>
      </c>
      <c r="F115" s="17">
        <v>49.2</v>
      </c>
      <c r="G115" s="68">
        <v>0</v>
      </c>
      <c r="H115" s="17">
        <f t="shared" si="22"/>
        <v>0</v>
      </c>
      <c r="I115" s="17">
        <v>0.27994</v>
      </c>
      <c r="J115" s="17">
        <f t="shared" si="23"/>
        <v>13.773048000000001</v>
      </c>
      <c r="O115" s="66"/>
      <c r="W115" s="61"/>
      <c r="AE115" s="46"/>
      <c r="AF115" s="46"/>
    </row>
    <row r="116" spans="1:32" s="58" customFormat="1" ht="12.75">
      <c r="A116" s="57">
        <f t="shared" si="21"/>
        <v>179</v>
      </c>
      <c r="B116" s="4"/>
      <c r="C116" s="4" t="s">
        <v>186</v>
      </c>
      <c r="D116" s="4" t="s">
        <v>334</v>
      </c>
      <c r="E116" s="4" t="s">
        <v>255</v>
      </c>
      <c r="F116" s="17">
        <v>49.2</v>
      </c>
      <c r="G116" s="68">
        <v>0</v>
      </c>
      <c r="H116" s="17">
        <f t="shared" si="22"/>
        <v>0</v>
      </c>
      <c r="I116" s="17">
        <v>0.18907</v>
      </c>
      <c r="J116" s="17">
        <f t="shared" si="23"/>
        <v>9.302244</v>
      </c>
      <c r="O116" s="66"/>
      <c r="W116" s="61"/>
      <c r="AE116" s="46"/>
      <c r="AF116" s="46"/>
    </row>
    <row r="117" spans="1:32" s="58" customFormat="1" ht="12.75">
      <c r="A117" s="57">
        <f t="shared" si="21"/>
        <v>180</v>
      </c>
      <c r="B117" s="4"/>
      <c r="C117" s="4" t="s">
        <v>175</v>
      </c>
      <c r="D117" s="4" t="s">
        <v>208</v>
      </c>
      <c r="E117" s="4" t="s">
        <v>256</v>
      </c>
      <c r="F117" s="17">
        <v>79</v>
      </c>
      <c r="G117" s="68">
        <v>0</v>
      </c>
      <c r="H117" s="17">
        <f t="shared" si="22"/>
        <v>0</v>
      </c>
      <c r="I117" s="17">
        <v>0.14424</v>
      </c>
      <c r="J117" s="17">
        <f t="shared" si="23"/>
        <v>11.394960000000001</v>
      </c>
      <c r="O117" s="66"/>
      <c r="W117" s="61"/>
      <c r="AE117" s="46"/>
      <c r="AF117" s="46"/>
    </row>
    <row r="118" spans="1:32" s="58" customFormat="1" ht="12.75">
      <c r="A118" s="57">
        <f t="shared" si="21"/>
        <v>181</v>
      </c>
      <c r="B118" s="5"/>
      <c r="C118" s="5" t="s">
        <v>176</v>
      </c>
      <c r="D118" s="5" t="s">
        <v>209</v>
      </c>
      <c r="E118" s="5" t="s">
        <v>258</v>
      </c>
      <c r="F118" s="18">
        <v>280</v>
      </c>
      <c r="G118" s="68">
        <v>0</v>
      </c>
      <c r="H118" s="17">
        <f t="shared" si="22"/>
        <v>0</v>
      </c>
      <c r="I118" s="18">
        <v>0.0052</v>
      </c>
      <c r="J118" s="18">
        <f t="shared" si="23"/>
        <v>1.456</v>
      </c>
      <c r="O118" s="66"/>
      <c r="W118" s="61"/>
      <c r="AE118" s="46"/>
      <c r="AF118" s="46"/>
    </row>
    <row r="119" spans="1:32" s="58" customFormat="1" ht="12.75">
      <c r="A119" s="57">
        <f t="shared" si="21"/>
        <v>182</v>
      </c>
      <c r="B119" s="5"/>
      <c r="C119" s="4" t="s">
        <v>195</v>
      </c>
      <c r="D119" s="57" t="s">
        <v>344</v>
      </c>
      <c r="E119" s="4" t="s">
        <v>255</v>
      </c>
      <c r="F119" s="17">
        <v>49.2</v>
      </c>
      <c r="G119" s="68">
        <v>0</v>
      </c>
      <c r="H119" s="17">
        <f t="shared" si="22"/>
        <v>0</v>
      </c>
      <c r="I119" s="17">
        <v>0.2334</v>
      </c>
      <c r="J119" s="17">
        <f t="shared" si="23"/>
        <v>11.48328</v>
      </c>
      <c r="O119" s="66"/>
      <c r="W119" s="61"/>
      <c r="AE119" s="46"/>
      <c r="AF119" s="46"/>
    </row>
    <row r="120" spans="1:32" s="58" customFormat="1" ht="12.75">
      <c r="A120" s="57">
        <f t="shared" si="21"/>
        <v>183</v>
      </c>
      <c r="B120" s="5"/>
      <c r="C120" s="4" t="s">
        <v>196</v>
      </c>
      <c r="D120" s="4" t="s">
        <v>237</v>
      </c>
      <c r="E120" s="4" t="s">
        <v>255</v>
      </c>
      <c r="F120" s="17">
        <v>23</v>
      </c>
      <c r="G120" s="68">
        <v>0</v>
      </c>
      <c r="H120" s="17">
        <f t="shared" si="22"/>
        <v>0</v>
      </c>
      <c r="I120" s="17">
        <v>0.1</v>
      </c>
      <c r="J120" s="17">
        <f t="shared" si="23"/>
        <v>2.3000000000000003</v>
      </c>
      <c r="O120" s="66"/>
      <c r="W120" s="61"/>
      <c r="AE120" s="46"/>
      <c r="AF120" s="46"/>
    </row>
    <row r="121" spans="1:32" s="58" customFormat="1" ht="12.75">
      <c r="A121" s="57">
        <f t="shared" si="21"/>
        <v>184</v>
      </c>
      <c r="B121" s="4"/>
      <c r="C121" s="4" t="s">
        <v>181</v>
      </c>
      <c r="D121" s="4" t="s">
        <v>214</v>
      </c>
      <c r="E121" s="4" t="s">
        <v>259</v>
      </c>
      <c r="F121" s="17">
        <f>F110*L121</f>
        <v>25.53714285714286</v>
      </c>
      <c r="G121" s="68">
        <v>0</v>
      </c>
      <c r="H121" s="17">
        <f t="shared" si="22"/>
        <v>0</v>
      </c>
      <c r="I121" s="17">
        <v>0</v>
      </c>
      <c r="J121" s="17">
        <f t="shared" si="23"/>
        <v>0</v>
      </c>
      <c r="L121" s="58">
        <v>0.5190476190476191</v>
      </c>
      <c r="M121" s="58" t="s">
        <v>329</v>
      </c>
      <c r="O121" s="66"/>
      <c r="W121" s="61"/>
      <c r="AE121" s="46"/>
      <c r="AF121" s="46"/>
    </row>
    <row r="122" spans="1:32" s="58" customFormat="1" ht="12.75">
      <c r="A122" s="57">
        <f t="shared" si="21"/>
        <v>185</v>
      </c>
      <c r="B122" s="4"/>
      <c r="C122" s="4" t="s">
        <v>182</v>
      </c>
      <c r="D122" s="4" t="s">
        <v>215</v>
      </c>
      <c r="E122" s="4" t="s">
        <v>259</v>
      </c>
      <c r="F122" s="17">
        <v>64.67</v>
      </c>
      <c r="G122" s="68">
        <v>0</v>
      </c>
      <c r="H122" s="17">
        <f>F122*G122</f>
        <v>0</v>
      </c>
      <c r="I122" s="17">
        <v>0</v>
      </c>
      <c r="J122" s="17">
        <f t="shared" si="23"/>
        <v>0</v>
      </c>
      <c r="O122" s="66"/>
      <c r="W122" s="61"/>
      <c r="AE122" s="46"/>
      <c r="AF122" s="46"/>
    </row>
    <row r="123" spans="1:32" ht="12.75">
      <c r="A123" s="41"/>
      <c r="B123" s="59" t="s">
        <v>369</v>
      </c>
      <c r="C123" s="41"/>
      <c r="D123" s="41" t="s">
        <v>355</v>
      </c>
      <c r="E123" s="41" t="s">
        <v>6</v>
      </c>
      <c r="F123" s="41" t="s">
        <v>6</v>
      </c>
      <c r="G123" s="62"/>
      <c r="H123" s="45">
        <f>SUM(H124:H136)</f>
        <v>0</v>
      </c>
      <c r="I123" s="42" t="s">
        <v>6</v>
      </c>
      <c r="J123" s="45">
        <f>SUM(J124:J136)</f>
        <v>13.781114</v>
      </c>
      <c r="W123" s="67"/>
      <c r="X123" s="58"/>
      <c r="AE123" s="46"/>
      <c r="AF123" s="46"/>
    </row>
    <row r="124" spans="1:32" s="58" customFormat="1" ht="12.75">
      <c r="A124" s="57" t="s">
        <v>393</v>
      </c>
      <c r="B124" s="4"/>
      <c r="C124" s="57" t="s">
        <v>382</v>
      </c>
      <c r="D124" s="57" t="s">
        <v>383</v>
      </c>
      <c r="E124" s="4" t="s">
        <v>255</v>
      </c>
      <c r="F124" s="17">
        <v>7.4</v>
      </c>
      <c r="G124" s="68">
        <v>0</v>
      </c>
      <c r="H124" s="17">
        <f>F124*G124</f>
        <v>0</v>
      </c>
      <c r="I124" s="17">
        <v>0.37</v>
      </c>
      <c r="J124" s="17">
        <f>I124*F124</f>
        <v>2.738</v>
      </c>
      <c r="O124" s="66"/>
      <c r="W124" s="61"/>
      <c r="AE124" s="46"/>
      <c r="AF124" s="46"/>
    </row>
    <row r="125" spans="1:32" s="58" customFormat="1" ht="12.75">
      <c r="A125" s="57">
        <f aca="true" t="shared" si="24" ref="A125:A136">A124+1</f>
        <v>187</v>
      </c>
      <c r="B125" s="4"/>
      <c r="C125" s="4" t="s">
        <v>374</v>
      </c>
      <c r="D125" s="57" t="s">
        <v>384</v>
      </c>
      <c r="E125" s="57" t="s">
        <v>255</v>
      </c>
      <c r="F125" s="17">
        <v>7.4</v>
      </c>
      <c r="G125" s="68">
        <v>0</v>
      </c>
      <c r="H125" s="17">
        <f>F125*G125</f>
        <v>0</v>
      </c>
      <c r="I125" s="17">
        <v>0.14</v>
      </c>
      <c r="J125" s="17">
        <f>I125*F125</f>
        <v>1.0360000000000003</v>
      </c>
      <c r="O125" s="66"/>
      <c r="W125" s="61"/>
      <c r="AE125" s="46"/>
      <c r="AF125" s="46"/>
    </row>
    <row r="126" spans="1:32" s="58" customFormat="1" ht="12.75">
      <c r="A126" s="57">
        <f t="shared" si="24"/>
        <v>188</v>
      </c>
      <c r="B126" s="4"/>
      <c r="C126" s="4" t="s">
        <v>172</v>
      </c>
      <c r="D126" s="4" t="s">
        <v>205</v>
      </c>
      <c r="E126" s="4" t="s">
        <v>256</v>
      </c>
      <c r="F126" s="17">
        <v>12</v>
      </c>
      <c r="G126" s="68">
        <v>0</v>
      </c>
      <c r="H126" s="17">
        <f aca="true" t="shared" si="25" ref="H126:H135">F126*G126</f>
        <v>0</v>
      </c>
      <c r="I126" s="17">
        <v>0.017</v>
      </c>
      <c r="J126" s="17">
        <f aca="true" t="shared" si="26" ref="J126:J136">I126*F126</f>
        <v>0.20400000000000001</v>
      </c>
      <c r="O126" s="66"/>
      <c r="W126" s="61"/>
      <c r="AE126" s="46"/>
      <c r="AF126" s="46"/>
    </row>
    <row r="127" spans="1:32" s="58" customFormat="1" ht="12.75">
      <c r="A127" s="57">
        <f t="shared" si="24"/>
        <v>189</v>
      </c>
      <c r="B127" s="4"/>
      <c r="C127" s="4" t="s">
        <v>173</v>
      </c>
      <c r="D127" s="4" t="s">
        <v>206</v>
      </c>
      <c r="E127" s="4" t="s">
        <v>257</v>
      </c>
      <c r="F127" s="17">
        <v>1.41</v>
      </c>
      <c r="G127" s="68">
        <v>0</v>
      </c>
      <c r="H127" s="17">
        <f t="shared" si="25"/>
        <v>0</v>
      </c>
      <c r="I127" s="17">
        <v>1.6</v>
      </c>
      <c r="J127" s="17">
        <f t="shared" si="26"/>
        <v>2.256</v>
      </c>
      <c r="O127" s="66"/>
      <c r="W127" s="61"/>
      <c r="AE127" s="46"/>
      <c r="AF127" s="46"/>
    </row>
    <row r="128" spans="1:32" s="58" customFormat="1" ht="12.75">
      <c r="A128" s="57">
        <f t="shared" si="24"/>
        <v>190</v>
      </c>
      <c r="B128" s="4"/>
      <c r="C128" s="4" t="s">
        <v>332</v>
      </c>
      <c r="D128" s="4" t="s">
        <v>333</v>
      </c>
      <c r="E128" s="57" t="s">
        <v>255</v>
      </c>
      <c r="F128" s="17">
        <v>7.4</v>
      </c>
      <c r="G128" s="68">
        <v>0</v>
      </c>
      <c r="H128" s="17">
        <f t="shared" si="25"/>
        <v>0</v>
      </c>
      <c r="I128" s="17">
        <v>0</v>
      </c>
      <c r="J128" s="17">
        <f t="shared" si="26"/>
        <v>0</v>
      </c>
      <c r="O128" s="66"/>
      <c r="W128" s="61"/>
      <c r="AE128" s="46"/>
      <c r="AF128" s="46"/>
    </row>
    <row r="129" spans="1:32" s="58" customFormat="1" ht="12.75">
      <c r="A129" s="57">
        <f t="shared" si="24"/>
        <v>191</v>
      </c>
      <c r="B129" s="4"/>
      <c r="C129" s="4" t="s">
        <v>174</v>
      </c>
      <c r="D129" s="4" t="s">
        <v>225</v>
      </c>
      <c r="E129" s="4" t="s">
        <v>255</v>
      </c>
      <c r="F129" s="17">
        <v>7.4</v>
      </c>
      <c r="G129" s="68">
        <v>0</v>
      </c>
      <c r="H129" s="17">
        <f t="shared" si="25"/>
        <v>0</v>
      </c>
      <c r="I129" s="17">
        <v>0.27994</v>
      </c>
      <c r="J129" s="17">
        <f t="shared" si="26"/>
        <v>2.071556</v>
      </c>
      <c r="O129" s="66"/>
      <c r="W129" s="61"/>
      <c r="AE129" s="46"/>
      <c r="AF129" s="46"/>
    </row>
    <row r="130" spans="1:32" s="58" customFormat="1" ht="12.75">
      <c r="A130" s="57">
        <f t="shared" si="24"/>
        <v>192</v>
      </c>
      <c r="B130" s="4"/>
      <c r="C130" s="4" t="s">
        <v>186</v>
      </c>
      <c r="D130" s="4" t="s">
        <v>334</v>
      </c>
      <c r="E130" s="4" t="s">
        <v>255</v>
      </c>
      <c r="F130" s="17">
        <v>7.4</v>
      </c>
      <c r="G130" s="68">
        <v>0</v>
      </c>
      <c r="H130" s="17">
        <f t="shared" si="25"/>
        <v>0</v>
      </c>
      <c r="I130" s="17">
        <v>0.18907</v>
      </c>
      <c r="J130" s="17">
        <f t="shared" si="26"/>
        <v>1.399118</v>
      </c>
      <c r="O130" s="66"/>
      <c r="W130" s="61"/>
      <c r="AE130" s="46"/>
      <c r="AF130" s="46"/>
    </row>
    <row r="131" spans="1:32" s="58" customFormat="1" ht="12.75">
      <c r="A131" s="57">
        <f t="shared" si="24"/>
        <v>193</v>
      </c>
      <c r="B131" s="4"/>
      <c r="C131" s="4" t="s">
        <v>175</v>
      </c>
      <c r="D131" s="4" t="s">
        <v>208</v>
      </c>
      <c r="E131" s="4" t="s">
        <v>256</v>
      </c>
      <c r="F131" s="17">
        <v>12</v>
      </c>
      <c r="G131" s="68">
        <v>0</v>
      </c>
      <c r="H131" s="17">
        <f t="shared" si="25"/>
        <v>0</v>
      </c>
      <c r="I131" s="17">
        <v>0.14424</v>
      </c>
      <c r="J131" s="17">
        <f t="shared" si="26"/>
        <v>1.73088</v>
      </c>
      <c r="O131" s="66"/>
      <c r="W131" s="61"/>
      <c r="AE131" s="46"/>
      <c r="AF131" s="46"/>
    </row>
    <row r="132" spans="1:32" s="58" customFormat="1" ht="12.75">
      <c r="A132" s="57">
        <f t="shared" si="24"/>
        <v>194</v>
      </c>
      <c r="B132" s="5"/>
      <c r="C132" s="5" t="s">
        <v>176</v>
      </c>
      <c r="D132" s="5" t="s">
        <v>209</v>
      </c>
      <c r="E132" s="5" t="s">
        <v>258</v>
      </c>
      <c r="F132" s="18">
        <v>42</v>
      </c>
      <c r="G132" s="68">
        <v>0</v>
      </c>
      <c r="H132" s="17">
        <f t="shared" si="25"/>
        <v>0</v>
      </c>
      <c r="I132" s="18">
        <v>0.0052</v>
      </c>
      <c r="J132" s="18">
        <f t="shared" si="26"/>
        <v>0.21839999999999998</v>
      </c>
      <c r="O132" s="66"/>
      <c r="W132" s="61"/>
      <c r="AE132" s="46"/>
      <c r="AF132" s="46"/>
    </row>
    <row r="133" spans="1:32" s="58" customFormat="1" ht="12.75">
      <c r="A133" s="57">
        <f t="shared" si="24"/>
        <v>195</v>
      </c>
      <c r="B133" s="5"/>
      <c r="C133" s="4" t="s">
        <v>195</v>
      </c>
      <c r="D133" s="57" t="s">
        <v>344</v>
      </c>
      <c r="E133" s="4" t="s">
        <v>255</v>
      </c>
      <c r="F133" s="17">
        <v>7.4</v>
      </c>
      <c r="G133" s="68">
        <v>0</v>
      </c>
      <c r="H133" s="17">
        <f t="shared" si="25"/>
        <v>0</v>
      </c>
      <c r="I133" s="17">
        <v>0.2334</v>
      </c>
      <c r="J133" s="17">
        <f t="shared" si="26"/>
        <v>1.72716</v>
      </c>
      <c r="O133" s="66"/>
      <c r="W133" s="61"/>
      <c r="AE133" s="46"/>
      <c r="AF133" s="46"/>
    </row>
    <row r="134" spans="1:32" s="58" customFormat="1" ht="12.75">
      <c r="A134" s="57">
        <f t="shared" si="24"/>
        <v>196</v>
      </c>
      <c r="B134" s="5"/>
      <c r="C134" s="4" t="s">
        <v>196</v>
      </c>
      <c r="D134" s="4" t="s">
        <v>237</v>
      </c>
      <c r="E134" s="4" t="s">
        <v>255</v>
      </c>
      <c r="F134" s="17">
        <v>4</v>
      </c>
      <c r="G134" s="68">
        <v>0</v>
      </c>
      <c r="H134" s="17">
        <f t="shared" si="25"/>
        <v>0</v>
      </c>
      <c r="I134" s="17">
        <v>0.1</v>
      </c>
      <c r="J134" s="17">
        <f t="shared" si="26"/>
        <v>0.4</v>
      </c>
      <c r="O134" s="66"/>
      <c r="W134" s="61"/>
      <c r="AE134" s="46"/>
      <c r="AF134" s="46"/>
    </row>
    <row r="135" spans="1:32" s="58" customFormat="1" ht="12.75">
      <c r="A135" s="57">
        <f t="shared" si="24"/>
        <v>197</v>
      </c>
      <c r="B135" s="4"/>
      <c r="C135" s="4" t="s">
        <v>181</v>
      </c>
      <c r="D135" s="4" t="s">
        <v>214</v>
      </c>
      <c r="E135" s="4" t="s">
        <v>259</v>
      </c>
      <c r="F135" s="17">
        <f>F124*L135</f>
        <v>3.8409523809523813</v>
      </c>
      <c r="G135" s="68">
        <v>0</v>
      </c>
      <c r="H135" s="17">
        <f t="shared" si="25"/>
        <v>0</v>
      </c>
      <c r="I135" s="17">
        <v>0</v>
      </c>
      <c r="J135" s="17">
        <f t="shared" si="26"/>
        <v>0</v>
      </c>
      <c r="L135" s="58">
        <v>0.5190476190476191</v>
      </c>
      <c r="M135" s="58" t="s">
        <v>329</v>
      </c>
      <c r="O135" s="66"/>
      <c r="W135" s="61"/>
      <c r="AE135" s="46"/>
      <c r="AF135" s="46"/>
    </row>
    <row r="136" spans="1:32" s="58" customFormat="1" ht="12.75">
      <c r="A136" s="57">
        <f t="shared" si="24"/>
        <v>198</v>
      </c>
      <c r="B136" s="4"/>
      <c r="C136" s="4" t="s">
        <v>182</v>
      </c>
      <c r="D136" s="4" t="s">
        <v>215</v>
      </c>
      <c r="E136" s="4" t="s">
        <v>259</v>
      </c>
      <c r="F136" s="17">
        <v>9.8</v>
      </c>
      <c r="G136" s="68">
        <v>0</v>
      </c>
      <c r="H136" s="17">
        <f>F136*G136</f>
        <v>0</v>
      </c>
      <c r="I136" s="17">
        <v>0</v>
      </c>
      <c r="J136" s="17">
        <f t="shared" si="26"/>
        <v>0</v>
      </c>
      <c r="O136" s="66"/>
      <c r="W136" s="61"/>
      <c r="AE136" s="46"/>
      <c r="AF136" s="46"/>
    </row>
    <row r="137" spans="1:32" ht="12.75">
      <c r="A137" s="41"/>
      <c r="B137" s="59" t="s">
        <v>370</v>
      </c>
      <c r="C137" s="41"/>
      <c r="D137" s="41" t="s">
        <v>355</v>
      </c>
      <c r="E137" s="41" t="s">
        <v>6</v>
      </c>
      <c r="F137" s="41" t="s">
        <v>6</v>
      </c>
      <c r="G137" s="62"/>
      <c r="H137" s="45">
        <f>SUM(H138:H149)</f>
        <v>0</v>
      </c>
      <c r="I137" s="42" t="s">
        <v>6</v>
      </c>
      <c r="J137" s="45">
        <f>SUM(J138:J149)</f>
        <v>49.743692</v>
      </c>
      <c r="W137" s="67"/>
      <c r="X137" s="58"/>
      <c r="AE137" s="46"/>
      <c r="AF137" s="46"/>
    </row>
    <row r="138" spans="1:32" s="58" customFormat="1" ht="12.75">
      <c r="A138" s="57" t="s">
        <v>394</v>
      </c>
      <c r="B138" s="4"/>
      <c r="C138" s="4" t="s">
        <v>374</v>
      </c>
      <c r="D138" s="65" t="s">
        <v>375</v>
      </c>
      <c r="E138" s="4" t="s">
        <v>255</v>
      </c>
      <c r="F138" s="17">
        <v>32.4</v>
      </c>
      <c r="G138" s="68">
        <v>0</v>
      </c>
      <c r="H138" s="17">
        <f>F138*G138</f>
        <v>0</v>
      </c>
      <c r="I138" s="17">
        <v>0.176</v>
      </c>
      <c r="J138" s="17">
        <f aca="true" t="shared" si="27" ref="J138:J149">I138*F138</f>
        <v>5.702399999999999</v>
      </c>
      <c r="O138" s="66"/>
      <c r="W138" s="61"/>
      <c r="AE138" s="46"/>
      <c r="AF138" s="46"/>
    </row>
    <row r="139" spans="1:32" s="58" customFormat="1" ht="12.75">
      <c r="A139" s="57">
        <f aca="true" t="shared" si="28" ref="A139:A149">A138+1</f>
        <v>200</v>
      </c>
      <c r="B139" s="4"/>
      <c r="C139" s="4" t="s">
        <v>172</v>
      </c>
      <c r="D139" s="4" t="s">
        <v>205</v>
      </c>
      <c r="E139" s="4" t="s">
        <v>256</v>
      </c>
      <c r="F139" s="17">
        <v>54.2</v>
      </c>
      <c r="G139" s="68">
        <v>0</v>
      </c>
      <c r="H139" s="17">
        <f aca="true" t="shared" si="29" ref="H139:H148">F139*G139</f>
        <v>0</v>
      </c>
      <c r="I139" s="17">
        <v>0.017</v>
      </c>
      <c r="J139" s="17">
        <f t="shared" si="27"/>
        <v>0.9214000000000001</v>
      </c>
      <c r="O139" s="66"/>
      <c r="W139" s="61"/>
      <c r="AE139" s="46"/>
      <c r="AF139" s="46"/>
    </row>
    <row r="140" spans="1:32" s="58" customFormat="1" ht="12.75">
      <c r="A140" s="57">
        <f t="shared" si="28"/>
        <v>201</v>
      </c>
      <c r="B140" s="4"/>
      <c r="C140" s="4" t="s">
        <v>173</v>
      </c>
      <c r="D140" s="4" t="s">
        <v>206</v>
      </c>
      <c r="E140" s="4" t="s">
        <v>257</v>
      </c>
      <c r="F140" s="17">
        <v>6.16</v>
      </c>
      <c r="G140" s="68">
        <v>0</v>
      </c>
      <c r="H140" s="17">
        <f t="shared" si="29"/>
        <v>0</v>
      </c>
      <c r="I140" s="17">
        <v>1.6</v>
      </c>
      <c r="J140" s="17">
        <f t="shared" si="27"/>
        <v>9.856000000000002</v>
      </c>
      <c r="O140" s="66"/>
      <c r="W140" s="61"/>
      <c r="AE140" s="46"/>
      <c r="AF140" s="46"/>
    </row>
    <row r="141" spans="1:32" s="58" customFormat="1" ht="12.75">
      <c r="A141" s="57">
        <f t="shared" si="28"/>
        <v>202</v>
      </c>
      <c r="B141" s="4"/>
      <c r="C141" s="4" t="s">
        <v>332</v>
      </c>
      <c r="D141" s="4" t="s">
        <v>333</v>
      </c>
      <c r="E141" s="57" t="s">
        <v>255</v>
      </c>
      <c r="F141" s="17">
        <v>32.4</v>
      </c>
      <c r="G141" s="68">
        <v>0</v>
      </c>
      <c r="H141" s="17">
        <f t="shared" si="29"/>
        <v>0</v>
      </c>
      <c r="I141" s="17">
        <v>0</v>
      </c>
      <c r="J141" s="17">
        <f t="shared" si="27"/>
        <v>0</v>
      </c>
      <c r="O141" s="66"/>
      <c r="W141" s="61"/>
      <c r="AE141" s="46"/>
      <c r="AF141" s="46"/>
    </row>
    <row r="142" spans="1:32" s="58" customFormat="1" ht="12.75">
      <c r="A142" s="57">
        <f t="shared" si="28"/>
        <v>203</v>
      </c>
      <c r="B142" s="4"/>
      <c r="C142" s="4" t="s">
        <v>174</v>
      </c>
      <c r="D142" s="4" t="s">
        <v>225</v>
      </c>
      <c r="E142" s="4" t="s">
        <v>255</v>
      </c>
      <c r="F142" s="17">
        <v>32.4</v>
      </c>
      <c r="G142" s="68">
        <v>0</v>
      </c>
      <c r="H142" s="17">
        <f t="shared" si="29"/>
        <v>0</v>
      </c>
      <c r="I142" s="17">
        <v>0.27994</v>
      </c>
      <c r="J142" s="17">
        <f t="shared" si="27"/>
        <v>9.070056000000001</v>
      </c>
      <c r="O142" s="66"/>
      <c r="W142" s="61"/>
      <c r="AE142" s="46"/>
      <c r="AF142" s="46"/>
    </row>
    <row r="143" spans="1:32" s="58" customFormat="1" ht="12.75">
      <c r="A143" s="57">
        <f t="shared" si="28"/>
        <v>204</v>
      </c>
      <c r="B143" s="4"/>
      <c r="C143" s="4" t="s">
        <v>186</v>
      </c>
      <c r="D143" s="4" t="s">
        <v>334</v>
      </c>
      <c r="E143" s="4" t="s">
        <v>255</v>
      </c>
      <c r="F143" s="17">
        <v>32.4</v>
      </c>
      <c r="G143" s="68">
        <v>0</v>
      </c>
      <c r="H143" s="17">
        <f t="shared" si="29"/>
        <v>0</v>
      </c>
      <c r="I143" s="17">
        <v>0.18907</v>
      </c>
      <c r="J143" s="17">
        <f t="shared" si="27"/>
        <v>6.125868</v>
      </c>
      <c r="O143" s="66"/>
      <c r="W143" s="61"/>
      <c r="AE143" s="46"/>
      <c r="AF143" s="46"/>
    </row>
    <row r="144" spans="1:32" s="58" customFormat="1" ht="12.75">
      <c r="A144" s="57">
        <f t="shared" si="28"/>
        <v>205</v>
      </c>
      <c r="B144" s="4"/>
      <c r="C144" s="4" t="s">
        <v>175</v>
      </c>
      <c r="D144" s="4" t="s">
        <v>208</v>
      </c>
      <c r="E144" s="4" t="s">
        <v>256</v>
      </c>
      <c r="F144" s="17">
        <v>54.2</v>
      </c>
      <c r="G144" s="68">
        <v>0</v>
      </c>
      <c r="H144" s="17">
        <f t="shared" si="29"/>
        <v>0</v>
      </c>
      <c r="I144" s="17">
        <v>0.14424</v>
      </c>
      <c r="J144" s="17">
        <f t="shared" si="27"/>
        <v>7.817808000000001</v>
      </c>
      <c r="O144" s="66"/>
      <c r="W144" s="61"/>
      <c r="AE144" s="46"/>
      <c r="AF144" s="46"/>
    </row>
    <row r="145" spans="1:32" s="58" customFormat="1" ht="12.75">
      <c r="A145" s="57">
        <f t="shared" si="28"/>
        <v>206</v>
      </c>
      <c r="B145" s="5"/>
      <c r="C145" s="5" t="s">
        <v>176</v>
      </c>
      <c r="D145" s="5" t="s">
        <v>209</v>
      </c>
      <c r="E145" s="5" t="s">
        <v>258</v>
      </c>
      <c r="F145" s="18">
        <v>190</v>
      </c>
      <c r="G145" s="68">
        <v>0</v>
      </c>
      <c r="H145" s="17">
        <f t="shared" si="29"/>
        <v>0</v>
      </c>
      <c r="I145" s="18">
        <v>0.0052</v>
      </c>
      <c r="J145" s="18">
        <f t="shared" si="27"/>
        <v>0.988</v>
      </c>
      <c r="O145" s="66"/>
      <c r="W145" s="61"/>
      <c r="AE145" s="46"/>
      <c r="AF145" s="46"/>
    </row>
    <row r="146" spans="1:32" s="58" customFormat="1" ht="12.75">
      <c r="A146" s="57">
        <f t="shared" si="28"/>
        <v>207</v>
      </c>
      <c r="B146" s="5"/>
      <c r="C146" s="4" t="s">
        <v>195</v>
      </c>
      <c r="D146" s="57" t="s">
        <v>344</v>
      </c>
      <c r="E146" s="4" t="s">
        <v>255</v>
      </c>
      <c r="F146" s="17">
        <v>32.4</v>
      </c>
      <c r="G146" s="68">
        <v>0</v>
      </c>
      <c r="H146" s="17">
        <f t="shared" si="29"/>
        <v>0</v>
      </c>
      <c r="I146" s="17">
        <v>0.2334</v>
      </c>
      <c r="J146" s="17">
        <f t="shared" si="27"/>
        <v>7.5621599999999995</v>
      </c>
      <c r="O146" s="66"/>
      <c r="W146" s="61"/>
      <c r="AE146" s="46"/>
      <c r="AF146" s="46"/>
    </row>
    <row r="147" spans="1:32" s="58" customFormat="1" ht="12.75">
      <c r="A147" s="57">
        <f t="shared" si="28"/>
        <v>208</v>
      </c>
      <c r="B147" s="5"/>
      <c r="C147" s="4" t="s">
        <v>196</v>
      </c>
      <c r="D147" s="4" t="s">
        <v>237</v>
      </c>
      <c r="E147" s="4" t="s">
        <v>255</v>
      </c>
      <c r="F147" s="17">
        <v>17</v>
      </c>
      <c r="G147" s="68">
        <v>0</v>
      </c>
      <c r="H147" s="17">
        <f t="shared" si="29"/>
        <v>0</v>
      </c>
      <c r="I147" s="17">
        <v>0.1</v>
      </c>
      <c r="J147" s="17">
        <f t="shared" si="27"/>
        <v>1.7000000000000002</v>
      </c>
      <c r="O147" s="66"/>
      <c r="W147" s="61"/>
      <c r="AE147" s="46"/>
      <c r="AF147" s="46"/>
    </row>
    <row r="148" spans="1:32" s="58" customFormat="1" ht="12.75">
      <c r="A148" s="57">
        <f t="shared" si="28"/>
        <v>209</v>
      </c>
      <c r="B148" s="4"/>
      <c r="C148" s="4" t="s">
        <v>181</v>
      </c>
      <c r="D148" s="4" t="s">
        <v>214</v>
      </c>
      <c r="E148" s="4" t="s">
        <v>259</v>
      </c>
      <c r="F148" s="17">
        <v>6.62</v>
      </c>
      <c r="G148" s="68">
        <v>0</v>
      </c>
      <c r="H148" s="17">
        <f t="shared" si="29"/>
        <v>0</v>
      </c>
      <c r="I148" s="17">
        <v>0</v>
      </c>
      <c r="J148" s="17">
        <f t="shared" si="27"/>
        <v>0</v>
      </c>
      <c r="L148" s="58">
        <v>0.5190476190476191</v>
      </c>
      <c r="M148" s="58" t="s">
        <v>329</v>
      </c>
      <c r="O148" s="66"/>
      <c r="W148" s="61"/>
      <c r="AE148" s="46"/>
      <c r="AF148" s="46"/>
    </row>
    <row r="149" spans="1:32" s="58" customFormat="1" ht="12.75">
      <c r="A149" s="57">
        <f t="shared" si="28"/>
        <v>210</v>
      </c>
      <c r="B149" s="4"/>
      <c r="C149" s="4" t="s">
        <v>182</v>
      </c>
      <c r="D149" s="4" t="s">
        <v>215</v>
      </c>
      <c r="E149" s="4" t="s">
        <v>259</v>
      </c>
      <c r="F149" s="17">
        <v>43.12</v>
      </c>
      <c r="G149" s="68">
        <v>0</v>
      </c>
      <c r="H149" s="17">
        <f>F149*G149</f>
        <v>0</v>
      </c>
      <c r="I149" s="17">
        <v>0</v>
      </c>
      <c r="J149" s="17">
        <f t="shared" si="27"/>
        <v>0</v>
      </c>
      <c r="O149" s="66"/>
      <c r="W149" s="61"/>
      <c r="AE149" s="46"/>
      <c r="AF149" s="46"/>
    </row>
    <row r="150" spans="1:32" ht="12.75">
      <c r="A150" s="41"/>
      <c r="B150" s="59" t="s">
        <v>371</v>
      </c>
      <c r="C150" s="41"/>
      <c r="D150" s="41" t="s">
        <v>355</v>
      </c>
      <c r="E150" s="41" t="s">
        <v>6</v>
      </c>
      <c r="F150" s="41" t="s">
        <v>6</v>
      </c>
      <c r="G150" s="62"/>
      <c r="H150" s="45">
        <f>SUM(H151:H162)</f>
        <v>0</v>
      </c>
      <c r="I150" s="42" t="s">
        <v>6</v>
      </c>
      <c r="J150" s="45">
        <f>SUM(J151:J162)</f>
        <v>65.306748</v>
      </c>
      <c r="W150" s="67"/>
      <c r="X150" s="58"/>
      <c r="AE150" s="46"/>
      <c r="AF150" s="46"/>
    </row>
    <row r="151" spans="1:32" s="58" customFormat="1" ht="12.75">
      <c r="A151" s="57" t="s">
        <v>395</v>
      </c>
      <c r="B151" s="4"/>
      <c r="C151" s="4" t="s">
        <v>374</v>
      </c>
      <c r="D151" s="65" t="s">
        <v>375</v>
      </c>
      <c r="E151" s="4" t="s">
        <v>255</v>
      </c>
      <c r="F151" s="17">
        <v>42.8</v>
      </c>
      <c r="G151" s="68">
        <v>0</v>
      </c>
      <c r="H151" s="17">
        <f>F151*G151</f>
        <v>0</v>
      </c>
      <c r="I151" s="17">
        <v>0.176</v>
      </c>
      <c r="J151" s="17">
        <f aca="true" t="shared" si="30" ref="J151:J162">I151*F151</f>
        <v>7.532799999999999</v>
      </c>
      <c r="O151" s="66"/>
      <c r="W151" s="61"/>
      <c r="AE151" s="46"/>
      <c r="AF151" s="46"/>
    </row>
    <row r="152" spans="1:32" s="58" customFormat="1" ht="12.75">
      <c r="A152" s="57">
        <f aca="true" t="shared" si="31" ref="A152:A162">A151+1</f>
        <v>212</v>
      </c>
      <c r="B152" s="4"/>
      <c r="C152" s="4" t="s">
        <v>172</v>
      </c>
      <c r="D152" s="4" t="s">
        <v>205</v>
      </c>
      <c r="E152" s="4" t="s">
        <v>256</v>
      </c>
      <c r="F152" s="17">
        <v>70</v>
      </c>
      <c r="G152" s="68">
        <v>0</v>
      </c>
      <c r="H152" s="17">
        <f aca="true" t="shared" si="32" ref="H152:H161">F152*G152</f>
        <v>0</v>
      </c>
      <c r="I152" s="17">
        <v>0.017</v>
      </c>
      <c r="J152" s="17">
        <f t="shared" si="30"/>
        <v>1.1900000000000002</v>
      </c>
      <c r="O152" s="66"/>
      <c r="W152" s="61"/>
      <c r="AE152" s="46"/>
      <c r="AF152" s="46"/>
    </row>
    <row r="153" spans="1:32" s="58" customFormat="1" ht="12.75">
      <c r="A153" s="57">
        <f t="shared" si="31"/>
        <v>213</v>
      </c>
      <c r="B153" s="4"/>
      <c r="C153" s="4" t="s">
        <v>173</v>
      </c>
      <c r="D153" s="4" t="s">
        <v>206</v>
      </c>
      <c r="E153" s="4" t="s">
        <v>257</v>
      </c>
      <c r="F153" s="17">
        <v>8.14</v>
      </c>
      <c r="G153" s="68">
        <v>0</v>
      </c>
      <c r="H153" s="17">
        <f t="shared" si="32"/>
        <v>0</v>
      </c>
      <c r="I153" s="17">
        <v>1.6</v>
      </c>
      <c r="J153" s="17">
        <f t="shared" si="30"/>
        <v>13.024000000000001</v>
      </c>
      <c r="O153" s="66"/>
      <c r="W153" s="61"/>
      <c r="AE153" s="46"/>
      <c r="AF153" s="46"/>
    </row>
    <row r="154" spans="1:32" s="58" customFormat="1" ht="12.75">
      <c r="A154" s="57">
        <f t="shared" si="31"/>
        <v>214</v>
      </c>
      <c r="B154" s="4"/>
      <c r="C154" s="4" t="s">
        <v>332</v>
      </c>
      <c r="D154" s="4" t="s">
        <v>333</v>
      </c>
      <c r="E154" s="57" t="s">
        <v>255</v>
      </c>
      <c r="F154" s="17">
        <v>42.8</v>
      </c>
      <c r="G154" s="68">
        <v>0</v>
      </c>
      <c r="H154" s="17">
        <f t="shared" si="32"/>
        <v>0</v>
      </c>
      <c r="I154" s="17">
        <v>0</v>
      </c>
      <c r="J154" s="17">
        <f t="shared" si="30"/>
        <v>0</v>
      </c>
      <c r="O154" s="66"/>
      <c r="W154" s="61"/>
      <c r="AE154" s="46"/>
      <c r="AF154" s="46"/>
    </row>
    <row r="155" spans="1:32" s="58" customFormat="1" ht="12.75">
      <c r="A155" s="57">
        <f t="shared" si="31"/>
        <v>215</v>
      </c>
      <c r="B155" s="4"/>
      <c r="C155" s="4" t="s">
        <v>174</v>
      </c>
      <c r="D155" s="4" t="s">
        <v>225</v>
      </c>
      <c r="E155" s="4" t="s">
        <v>255</v>
      </c>
      <c r="F155" s="17">
        <v>42.8</v>
      </c>
      <c r="G155" s="68">
        <v>0</v>
      </c>
      <c r="H155" s="17">
        <f t="shared" si="32"/>
        <v>0</v>
      </c>
      <c r="I155" s="17">
        <v>0.27994</v>
      </c>
      <c r="J155" s="17">
        <f t="shared" si="30"/>
        <v>11.981432</v>
      </c>
      <c r="O155" s="66"/>
      <c r="W155" s="61"/>
      <c r="AE155" s="46"/>
      <c r="AF155" s="46"/>
    </row>
    <row r="156" spans="1:32" s="58" customFormat="1" ht="12.75">
      <c r="A156" s="57">
        <f t="shared" si="31"/>
        <v>216</v>
      </c>
      <c r="B156" s="4"/>
      <c r="C156" s="4" t="s">
        <v>186</v>
      </c>
      <c r="D156" s="4" t="s">
        <v>334</v>
      </c>
      <c r="E156" s="4" t="s">
        <v>255</v>
      </c>
      <c r="F156" s="17">
        <v>42.8</v>
      </c>
      <c r="G156" s="68">
        <v>0</v>
      </c>
      <c r="H156" s="17">
        <f t="shared" si="32"/>
        <v>0</v>
      </c>
      <c r="I156" s="17">
        <v>0.18907</v>
      </c>
      <c r="J156" s="17">
        <f t="shared" si="30"/>
        <v>8.092196</v>
      </c>
      <c r="O156" s="66"/>
      <c r="W156" s="61"/>
      <c r="AE156" s="46"/>
      <c r="AF156" s="46"/>
    </row>
    <row r="157" spans="1:32" s="58" customFormat="1" ht="12.75">
      <c r="A157" s="57">
        <f t="shared" si="31"/>
        <v>217</v>
      </c>
      <c r="B157" s="4"/>
      <c r="C157" s="4" t="s">
        <v>175</v>
      </c>
      <c r="D157" s="4" t="s">
        <v>208</v>
      </c>
      <c r="E157" s="4" t="s">
        <v>256</v>
      </c>
      <c r="F157" s="17">
        <v>70</v>
      </c>
      <c r="G157" s="68">
        <v>0</v>
      </c>
      <c r="H157" s="17">
        <f t="shared" si="32"/>
        <v>0</v>
      </c>
      <c r="I157" s="17">
        <v>0.14424</v>
      </c>
      <c r="J157" s="17">
        <f t="shared" si="30"/>
        <v>10.0968</v>
      </c>
      <c r="O157" s="66"/>
      <c r="W157" s="61"/>
      <c r="AE157" s="46"/>
      <c r="AF157" s="46"/>
    </row>
    <row r="158" spans="1:32" s="58" customFormat="1" ht="12.75">
      <c r="A158" s="57">
        <f t="shared" si="31"/>
        <v>218</v>
      </c>
      <c r="B158" s="5"/>
      <c r="C158" s="5" t="s">
        <v>176</v>
      </c>
      <c r="D158" s="5" t="s">
        <v>209</v>
      </c>
      <c r="E158" s="5" t="s">
        <v>258</v>
      </c>
      <c r="F158" s="18">
        <v>250</v>
      </c>
      <c r="G158" s="68">
        <v>0</v>
      </c>
      <c r="H158" s="17">
        <f t="shared" si="32"/>
        <v>0</v>
      </c>
      <c r="I158" s="18">
        <v>0.0052</v>
      </c>
      <c r="J158" s="18">
        <f t="shared" si="30"/>
        <v>1.3</v>
      </c>
      <c r="O158" s="66"/>
      <c r="W158" s="61"/>
      <c r="AE158" s="46"/>
      <c r="AF158" s="46"/>
    </row>
    <row r="159" spans="1:32" s="58" customFormat="1" ht="12.75">
      <c r="A159" s="57">
        <f t="shared" si="31"/>
        <v>219</v>
      </c>
      <c r="B159" s="5"/>
      <c r="C159" s="4" t="s">
        <v>195</v>
      </c>
      <c r="D159" s="57" t="s">
        <v>344</v>
      </c>
      <c r="E159" s="4" t="s">
        <v>255</v>
      </c>
      <c r="F159" s="17">
        <v>42.8</v>
      </c>
      <c r="G159" s="68">
        <v>0</v>
      </c>
      <c r="H159" s="17">
        <f t="shared" si="32"/>
        <v>0</v>
      </c>
      <c r="I159" s="17">
        <v>0.2334</v>
      </c>
      <c r="J159" s="17">
        <f t="shared" si="30"/>
        <v>9.989519999999999</v>
      </c>
      <c r="O159" s="66"/>
      <c r="W159" s="61"/>
      <c r="AE159" s="46"/>
      <c r="AF159" s="46"/>
    </row>
    <row r="160" spans="1:32" s="58" customFormat="1" ht="12.75">
      <c r="A160" s="57">
        <f t="shared" si="31"/>
        <v>220</v>
      </c>
      <c r="B160" s="5"/>
      <c r="C160" s="4" t="s">
        <v>196</v>
      </c>
      <c r="D160" s="4" t="s">
        <v>237</v>
      </c>
      <c r="E160" s="4" t="s">
        <v>255</v>
      </c>
      <c r="F160" s="17">
        <v>21</v>
      </c>
      <c r="G160" s="68">
        <v>0</v>
      </c>
      <c r="H160" s="17">
        <f t="shared" si="32"/>
        <v>0</v>
      </c>
      <c r="I160" s="17">
        <v>0.1</v>
      </c>
      <c r="J160" s="17">
        <f t="shared" si="30"/>
        <v>2.1</v>
      </c>
      <c r="O160" s="66"/>
      <c r="W160" s="61"/>
      <c r="AE160" s="46"/>
      <c r="AF160" s="46"/>
    </row>
    <row r="161" spans="1:32" s="58" customFormat="1" ht="12.75">
      <c r="A161" s="57">
        <f t="shared" si="31"/>
        <v>221</v>
      </c>
      <c r="B161" s="4"/>
      <c r="C161" s="4" t="s">
        <v>181</v>
      </c>
      <c r="D161" s="4" t="s">
        <v>214</v>
      </c>
      <c r="E161" s="4" t="s">
        <v>259</v>
      </c>
      <c r="F161" s="17">
        <v>8.72</v>
      </c>
      <c r="G161" s="68">
        <v>0</v>
      </c>
      <c r="H161" s="17">
        <f t="shared" si="32"/>
        <v>0</v>
      </c>
      <c r="I161" s="17">
        <v>0</v>
      </c>
      <c r="J161" s="17">
        <f t="shared" si="30"/>
        <v>0</v>
      </c>
      <c r="L161" s="58">
        <v>0.5190476190476191</v>
      </c>
      <c r="M161" s="58" t="s">
        <v>329</v>
      </c>
      <c r="O161" s="66"/>
      <c r="W161" s="61"/>
      <c r="AE161" s="46"/>
      <c r="AF161" s="46"/>
    </row>
    <row r="162" spans="1:32" s="58" customFormat="1" ht="12.75">
      <c r="A162" s="57">
        <f t="shared" si="31"/>
        <v>222</v>
      </c>
      <c r="B162" s="4"/>
      <c r="C162" s="4" t="s">
        <v>182</v>
      </c>
      <c r="D162" s="4" t="s">
        <v>215</v>
      </c>
      <c r="E162" s="4" t="s">
        <v>259</v>
      </c>
      <c r="F162" s="17">
        <v>56.58</v>
      </c>
      <c r="G162" s="68">
        <v>0</v>
      </c>
      <c r="H162" s="17">
        <f>F162*G162</f>
        <v>0</v>
      </c>
      <c r="I162" s="17">
        <v>0</v>
      </c>
      <c r="J162" s="17">
        <f t="shared" si="30"/>
        <v>0</v>
      </c>
      <c r="O162" s="66"/>
      <c r="W162" s="61"/>
      <c r="AE162" s="46"/>
      <c r="AF162" s="46"/>
    </row>
    <row r="163" spans="1:32" ht="12.75">
      <c r="A163" s="41"/>
      <c r="B163" s="59" t="s">
        <v>372</v>
      </c>
      <c r="C163" s="41"/>
      <c r="D163" s="59" t="s">
        <v>373</v>
      </c>
      <c r="E163" s="41" t="s">
        <v>6</v>
      </c>
      <c r="F163" s="41" t="s">
        <v>6</v>
      </c>
      <c r="G163" s="62"/>
      <c r="H163" s="45">
        <f>SUM(H164:H169)</f>
        <v>0</v>
      </c>
      <c r="I163" s="42" t="s">
        <v>6</v>
      </c>
      <c r="J163" s="45">
        <f>SUM(J164:J169)</f>
        <v>1.8399999999999999</v>
      </c>
      <c r="W163" s="67"/>
      <c r="X163" s="58"/>
      <c r="AE163" s="46"/>
      <c r="AF163" s="46"/>
    </row>
    <row r="164" spans="1:32" s="58" customFormat="1" ht="12.75">
      <c r="A164" s="57" t="s">
        <v>396</v>
      </c>
      <c r="B164" s="4"/>
      <c r="C164" s="4" t="s">
        <v>374</v>
      </c>
      <c r="D164" s="65" t="s">
        <v>375</v>
      </c>
      <c r="E164" s="4" t="s">
        <v>255</v>
      </c>
      <c r="F164" s="17">
        <v>4</v>
      </c>
      <c r="G164" s="68">
        <v>0</v>
      </c>
      <c r="H164" s="17">
        <f aca="true" t="shared" si="33" ref="H164:H169">F164*G164</f>
        <v>0</v>
      </c>
      <c r="I164" s="17">
        <v>0.176</v>
      </c>
      <c r="J164" s="17">
        <f aca="true" t="shared" si="34" ref="J164:J169">I164*F164</f>
        <v>0.704</v>
      </c>
      <c r="O164" s="66"/>
      <c r="W164" s="61"/>
      <c r="AE164" s="46"/>
      <c r="AF164" s="46"/>
    </row>
    <row r="165" spans="1:32" s="58" customFormat="1" ht="12.75">
      <c r="A165" s="57">
        <f>A164+1</f>
        <v>224</v>
      </c>
      <c r="B165" s="4"/>
      <c r="C165" s="4" t="s">
        <v>172</v>
      </c>
      <c r="D165" s="4" t="s">
        <v>205</v>
      </c>
      <c r="E165" s="4" t="s">
        <v>256</v>
      </c>
      <c r="F165" s="17">
        <v>8</v>
      </c>
      <c r="G165" s="68">
        <v>0</v>
      </c>
      <c r="H165" s="17">
        <f t="shared" si="33"/>
        <v>0</v>
      </c>
      <c r="I165" s="17">
        <v>0.017</v>
      </c>
      <c r="J165" s="17">
        <f t="shared" si="34"/>
        <v>0.136</v>
      </c>
      <c r="O165" s="66"/>
      <c r="W165" s="61"/>
      <c r="AE165" s="46"/>
      <c r="AF165" s="46"/>
    </row>
    <row r="166" spans="1:32" s="58" customFormat="1" ht="12.75">
      <c r="A166" s="57">
        <f>A165+1</f>
        <v>225</v>
      </c>
      <c r="B166" s="4"/>
      <c r="C166" s="4" t="s">
        <v>196</v>
      </c>
      <c r="D166" s="4" t="s">
        <v>237</v>
      </c>
      <c r="E166" s="4" t="s">
        <v>255</v>
      </c>
      <c r="F166" s="17">
        <v>5</v>
      </c>
      <c r="G166" s="68">
        <v>0</v>
      </c>
      <c r="H166" s="17">
        <f t="shared" si="33"/>
        <v>0</v>
      </c>
      <c r="I166" s="17">
        <v>0.1</v>
      </c>
      <c r="J166" s="17">
        <f t="shared" si="34"/>
        <v>0.5</v>
      </c>
      <c r="O166" s="66"/>
      <c r="W166" s="61"/>
      <c r="AE166" s="46"/>
      <c r="AF166" s="46"/>
    </row>
    <row r="167" spans="1:32" s="58" customFormat="1" ht="12.75">
      <c r="A167" s="57">
        <f>A166+1</f>
        <v>226</v>
      </c>
      <c r="B167" s="4"/>
      <c r="C167" s="4" t="s">
        <v>194</v>
      </c>
      <c r="D167" s="4" t="s">
        <v>231</v>
      </c>
      <c r="E167" s="4" t="s">
        <v>255</v>
      </c>
      <c r="F167" s="17">
        <v>5</v>
      </c>
      <c r="G167" s="68">
        <v>0</v>
      </c>
      <c r="H167" s="17">
        <f t="shared" si="33"/>
        <v>0</v>
      </c>
      <c r="I167" s="17">
        <v>0.1</v>
      </c>
      <c r="J167" s="17">
        <f t="shared" si="34"/>
        <v>0.5</v>
      </c>
      <c r="O167" s="66"/>
      <c r="W167" s="61"/>
      <c r="AE167" s="46"/>
      <c r="AF167" s="46"/>
    </row>
    <row r="168" spans="1:32" s="58" customFormat="1" ht="12.75">
      <c r="A168" s="57">
        <f>A167+1</f>
        <v>227</v>
      </c>
      <c r="B168" s="4"/>
      <c r="C168" s="4" t="s">
        <v>181</v>
      </c>
      <c r="D168" s="4" t="s">
        <v>214</v>
      </c>
      <c r="E168" s="4" t="s">
        <v>260</v>
      </c>
      <c r="F168" s="17">
        <v>0.84</v>
      </c>
      <c r="G168" s="68">
        <v>0</v>
      </c>
      <c r="H168" s="17">
        <f t="shared" si="33"/>
        <v>0</v>
      </c>
      <c r="I168" s="17">
        <v>0</v>
      </c>
      <c r="J168" s="17">
        <f t="shared" si="34"/>
        <v>0</v>
      </c>
      <c r="L168" s="58">
        <v>0.5190476190476191</v>
      </c>
      <c r="M168" s="58" t="s">
        <v>329</v>
      </c>
      <c r="O168" s="66"/>
      <c r="W168" s="61"/>
      <c r="AE168" s="46"/>
      <c r="AF168" s="46"/>
    </row>
    <row r="169" spans="1:32" s="58" customFormat="1" ht="12.75">
      <c r="A169" s="57">
        <f>A168+1</f>
        <v>228</v>
      </c>
      <c r="B169" s="5"/>
      <c r="C169" s="4" t="s">
        <v>182</v>
      </c>
      <c r="D169" s="4" t="s">
        <v>215</v>
      </c>
      <c r="E169" s="4" t="s">
        <v>259</v>
      </c>
      <c r="F169" s="17">
        <v>1</v>
      </c>
      <c r="G169" s="68">
        <v>0</v>
      </c>
      <c r="H169" s="17">
        <f t="shared" si="33"/>
        <v>0</v>
      </c>
      <c r="I169" s="17">
        <v>0</v>
      </c>
      <c r="J169" s="17">
        <f t="shared" si="34"/>
        <v>0</v>
      </c>
      <c r="O169" s="66"/>
      <c r="W169" s="61"/>
      <c r="AE169" s="46"/>
      <c r="AF169" s="46"/>
    </row>
    <row r="170" spans="1:32" ht="12.75">
      <c r="A170" s="41"/>
      <c r="B170" s="41" t="s">
        <v>358</v>
      </c>
      <c r="C170" s="41"/>
      <c r="D170" s="41" t="s">
        <v>360</v>
      </c>
      <c r="E170" s="41" t="s">
        <v>6</v>
      </c>
      <c r="F170" s="41" t="s">
        <v>6</v>
      </c>
      <c r="G170" s="62"/>
      <c r="H170" s="45">
        <f>SUM(H171:H177)</f>
        <v>0</v>
      </c>
      <c r="I170" s="42" t="s">
        <v>6</v>
      </c>
      <c r="J170" s="45">
        <f>SUM(J171:J177)</f>
        <v>35.724</v>
      </c>
      <c r="W170" s="67"/>
      <c r="X170" s="58"/>
      <c r="AE170" s="46" t="e">
        <f>#REF!*0</f>
        <v>#REF!</v>
      </c>
      <c r="AF170" s="46" t="e">
        <f>#REF!*(1-0)</f>
        <v>#REF!</v>
      </c>
    </row>
    <row r="171" spans="1:32" s="58" customFormat="1" ht="12.75">
      <c r="A171" s="57" t="s">
        <v>397</v>
      </c>
      <c r="B171" s="4"/>
      <c r="C171" s="57" t="s">
        <v>382</v>
      </c>
      <c r="D171" s="57" t="s">
        <v>383</v>
      </c>
      <c r="E171" s="4" t="s">
        <v>255</v>
      </c>
      <c r="F171" s="17">
        <v>46.8</v>
      </c>
      <c r="G171" s="68">
        <v>0</v>
      </c>
      <c r="H171" s="17">
        <f aca="true" t="shared" si="35" ref="H171:H177">F171*G171</f>
        <v>0</v>
      </c>
      <c r="I171" s="17">
        <v>0.37</v>
      </c>
      <c r="J171" s="17">
        <f aca="true" t="shared" si="36" ref="J171:J177">I171*F171</f>
        <v>17.316</v>
      </c>
      <c r="O171" s="66"/>
      <c r="W171" s="61"/>
      <c r="AE171" s="46" t="e">
        <f>#REF!*0</f>
        <v>#REF!</v>
      </c>
      <c r="AF171" s="46" t="e">
        <f>#REF!*(1-0)</f>
        <v>#REF!</v>
      </c>
    </row>
    <row r="172" spans="1:32" s="58" customFormat="1" ht="12.75">
      <c r="A172" s="57">
        <f aca="true" t="shared" si="37" ref="A172:A177">A171+1</f>
        <v>376</v>
      </c>
      <c r="B172" s="4"/>
      <c r="C172" s="4" t="s">
        <v>374</v>
      </c>
      <c r="D172" s="57" t="s">
        <v>384</v>
      </c>
      <c r="E172" s="57" t="s">
        <v>255</v>
      </c>
      <c r="F172" s="17">
        <v>46.8</v>
      </c>
      <c r="G172" s="68">
        <v>0</v>
      </c>
      <c r="H172" s="17">
        <f t="shared" si="35"/>
        <v>0</v>
      </c>
      <c r="I172" s="17">
        <v>0.14</v>
      </c>
      <c r="J172" s="17">
        <f t="shared" si="36"/>
        <v>6.5520000000000005</v>
      </c>
      <c r="O172" s="66"/>
      <c r="W172" s="61"/>
      <c r="AE172" s="46"/>
      <c r="AF172" s="46"/>
    </row>
    <row r="173" spans="1:23" s="58" customFormat="1" ht="12.75">
      <c r="A173" s="57">
        <f t="shared" si="37"/>
        <v>377</v>
      </c>
      <c r="B173" s="4"/>
      <c r="C173" s="4" t="s">
        <v>172</v>
      </c>
      <c r="D173" s="4" t="s">
        <v>205</v>
      </c>
      <c r="E173" s="4" t="s">
        <v>256</v>
      </c>
      <c r="F173" s="17">
        <v>78</v>
      </c>
      <c r="G173" s="68">
        <v>0</v>
      </c>
      <c r="H173" s="17">
        <f t="shared" si="35"/>
        <v>0</v>
      </c>
      <c r="I173" s="17">
        <v>0.017</v>
      </c>
      <c r="J173" s="17">
        <f t="shared" si="36"/>
        <v>1.326</v>
      </c>
      <c r="O173" s="66"/>
      <c r="W173" s="61"/>
    </row>
    <row r="174" spans="1:32" s="58" customFormat="1" ht="12.75">
      <c r="A174" s="57">
        <f t="shared" si="37"/>
        <v>378</v>
      </c>
      <c r="B174" s="4"/>
      <c r="C174" s="4" t="s">
        <v>196</v>
      </c>
      <c r="D174" s="4" t="s">
        <v>237</v>
      </c>
      <c r="E174" s="4" t="s">
        <v>255</v>
      </c>
      <c r="F174" s="17">
        <v>46.8</v>
      </c>
      <c r="G174" s="68">
        <v>0</v>
      </c>
      <c r="H174" s="17">
        <f t="shared" si="35"/>
        <v>0</v>
      </c>
      <c r="I174" s="17">
        <v>0.1</v>
      </c>
      <c r="J174" s="17">
        <f t="shared" si="36"/>
        <v>4.68</v>
      </c>
      <c r="O174" s="66"/>
      <c r="W174" s="61"/>
      <c r="AE174" s="46">
        <f>G187*0.0185161290322581</f>
        <v>0</v>
      </c>
      <c r="AF174" s="46">
        <f>G187*(1-0.0185161290322581)</f>
        <v>0</v>
      </c>
    </row>
    <row r="175" spans="1:32" s="58" customFormat="1" ht="12.75">
      <c r="A175" s="57">
        <f t="shared" si="37"/>
        <v>379</v>
      </c>
      <c r="B175" s="4"/>
      <c r="C175" s="4" t="s">
        <v>194</v>
      </c>
      <c r="D175" s="4" t="s">
        <v>231</v>
      </c>
      <c r="E175" s="4" t="s">
        <v>255</v>
      </c>
      <c r="F175" s="17">
        <v>58.5</v>
      </c>
      <c r="G175" s="68">
        <v>0</v>
      </c>
      <c r="H175" s="17">
        <f t="shared" si="35"/>
        <v>0</v>
      </c>
      <c r="I175" s="17">
        <v>0.1</v>
      </c>
      <c r="J175" s="17">
        <f t="shared" si="36"/>
        <v>5.8500000000000005</v>
      </c>
      <c r="O175" s="66"/>
      <c r="W175" s="61"/>
      <c r="AE175" s="46">
        <f>G198*0</f>
        <v>0</v>
      </c>
      <c r="AF175" s="46">
        <f>G198*(1-0)</f>
        <v>0</v>
      </c>
    </row>
    <row r="176" spans="1:32" s="58" customFormat="1" ht="12.75">
      <c r="A176" s="57">
        <f t="shared" si="37"/>
        <v>380</v>
      </c>
      <c r="B176" s="4"/>
      <c r="C176" s="4" t="s">
        <v>181</v>
      </c>
      <c r="D176" s="4" t="s">
        <v>214</v>
      </c>
      <c r="E176" s="4" t="s">
        <v>259</v>
      </c>
      <c r="F176" s="17">
        <f>F171*L176</f>
        <v>24.291428571428572</v>
      </c>
      <c r="G176" s="68">
        <v>0</v>
      </c>
      <c r="H176" s="17">
        <f t="shared" si="35"/>
        <v>0</v>
      </c>
      <c r="I176" s="17">
        <v>0</v>
      </c>
      <c r="J176" s="17">
        <f t="shared" si="36"/>
        <v>0</v>
      </c>
      <c r="L176" s="58">
        <v>0.5190476190476191</v>
      </c>
      <c r="M176" s="58" t="s">
        <v>329</v>
      </c>
      <c r="O176" s="66"/>
      <c r="W176" s="61"/>
      <c r="AE176" s="46">
        <f>G199*0</f>
        <v>0</v>
      </c>
      <c r="AF176" s="46">
        <f>G199*(1-0)</f>
        <v>0</v>
      </c>
    </row>
    <row r="177" spans="1:32" s="58" customFormat="1" ht="12.75">
      <c r="A177" s="57">
        <f t="shared" si="37"/>
        <v>381</v>
      </c>
      <c r="B177" s="4"/>
      <c r="C177" s="4" t="s">
        <v>182</v>
      </c>
      <c r="D177" s="4" t="s">
        <v>215</v>
      </c>
      <c r="E177" s="4" t="s">
        <v>259</v>
      </c>
      <c r="F177" s="17">
        <v>10.53</v>
      </c>
      <c r="G177" s="68">
        <v>0</v>
      </c>
      <c r="H177" s="17">
        <f t="shared" si="35"/>
        <v>0</v>
      </c>
      <c r="I177" s="17">
        <v>0</v>
      </c>
      <c r="J177" s="17">
        <f t="shared" si="36"/>
        <v>0</v>
      </c>
      <c r="O177" s="66"/>
      <c r="W177" s="61"/>
      <c r="AE177" s="46">
        <f>G200*0.810693641618497</f>
        <v>0</v>
      </c>
      <c r="AF177" s="46">
        <f>G200*(1-0.810693641618497)</f>
        <v>0</v>
      </c>
    </row>
    <row r="178" spans="1:32" ht="12.75">
      <c r="A178" s="41"/>
      <c r="B178" s="41" t="s">
        <v>359</v>
      </c>
      <c r="C178" s="41"/>
      <c r="D178" s="41" t="s">
        <v>360</v>
      </c>
      <c r="E178" s="41" t="s">
        <v>6</v>
      </c>
      <c r="F178" s="41" t="s">
        <v>6</v>
      </c>
      <c r="G178" s="62"/>
      <c r="H178" s="45">
        <f>SUM(H179:H185)</f>
        <v>0</v>
      </c>
      <c r="I178" s="42" t="s">
        <v>6</v>
      </c>
      <c r="J178" s="45">
        <f>SUM(J179:J185)</f>
        <v>27.48</v>
      </c>
      <c r="W178" s="67"/>
      <c r="X178" s="58"/>
      <c r="AE178" s="46">
        <f>G201*0.637759103641456</f>
        <v>0</v>
      </c>
      <c r="AF178" s="46">
        <f>G201*(1-0.637759103641456)</f>
        <v>0</v>
      </c>
    </row>
    <row r="179" spans="1:32" s="58" customFormat="1" ht="12.75">
      <c r="A179" s="57" t="s">
        <v>398</v>
      </c>
      <c r="B179" s="4"/>
      <c r="C179" s="57" t="s">
        <v>382</v>
      </c>
      <c r="D179" s="57" t="s">
        <v>383</v>
      </c>
      <c r="E179" s="4" t="s">
        <v>255</v>
      </c>
      <c r="F179" s="17">
        <v>36</v>
      </c>
      <c r="G179" s="68">
        <v>0</v>
      </c>
      <c r="H179" s="17">
        <f aca="true" t="shared" si="38" ref="H179:H185">F179*G179</f>
        <v>0</v>
      </c>
      <c r="I179" s="17">
        <v>0.37</v>
      </c>
      <c r="J179" s="17">
        <f aca="true" t="shared" si="39" ref="J179:J185">I179*F179</f>
        <v>13.32</v>
      </c>
      <c r="O179" s="66"/>
      <c r="W179" s="61"/>
      <c r="AE179" s="47">
        <f>G202*1</f>
        <v>0</v>
      </c>
      <c r="AF179" s="47">
        <f>G202*(1-1)</f>
        <v>0</v>
      </c>
    </row>
    <row r="180" spans="1:32" s="58" customFormat="1" ht="12.75">
      <c r="A180" s="57">
        <f aca="true" t="shared" si="40" ref="A180:A185">A179+1</f>
        <v>383</v>
      </c>
      <c r="B180" s="4"/>
      <c r="C180" s="4" t="s">
        <v>374</v>
      </c>
      <c r="D180" s="57" t="s">
        <v>384</v>
      </c>
      <c r="E180" s="57" t="s">
        <v>255</v>
      </c>
      <c r="F180" s="17">
        <v>36</v>
      </c>
      <c r="G180" s="68">
        <v>0</v>
      </c>
      <c r="H180" s="17">
        <f t="shared" si="38"/>
        <v>0</v>
      </c>
      <c r="I180" s="17">
        <v>0.14</v>
      </c>
      <c r="J180" s="17">
        <f t="shared" si="39"/>
        <v>5.040000000000001</v>
      </c>
      <c r="O180" s="66"/>
      <c r="W180" s="61"/>
      <c r="AE180" s="47"/>
      <c r="AF180" s="47"/>
    </row>
    <row r="181" spans="1:32" s="58" customFormat="1" ht="12.75">
      <c r="A181" s="57">
        <f t="shared" si="40"/>
        <v>384</v>
      </c>
      <c r="B181" s="4"/>
      <c r="C181" s="4" t="s">
        <v>172</v>
      </c>
      <c r="D181" s="4" t="s">
        <v>205</v>
      </c>
      <c r="E181" s="4" t="s">
        <v>256</v>
      </c>
      <c r="F181" s="17">
        <v>60</v>
      </c>
      <c r="G181" s="68">
        <v>0</v>
      </c>
      <c r="H181" s="17">
        <f t="shared" si="38"/>
        <v>0</v>
      </c>
      <c r="I181" s="17">
        <v>0.017</v>
      </c>
      <c r="J181" s="17">
        <f t="shared" si="39"/>
        <v>1.02</v>
      </c>
      <c r="O181" s="66"/>
      <c r="W181" s="61"/>
      <c r="AE181" s="46" t="e">
        <f>#REF!*0</f>
        <v>#REF!</v>
      </c>
      <c r="AF181" s="46" t="e">
        <f>#REF!*(1-0)</f>
        <v>#REF!</v>
      </c>
    </row>
    <row r="182" spans="1:32" s="58" customFormat="1" ht="12.75">
      <c r="A182" s="57">
        <f t="shared" si="40"/>
        <v>385</v>
      </c>
      <c r="B182" s="4"/>
      <c r="C182" s="4" t="s">
        <v>196</v>
      </c>
      <c r="D182" s="4" t="s">
        <v>237</v>
      </c>
      <c r="E182" s="4" t="s">
        <v>255</v>
      </c>
      <c r="F182" s="17">
        <v>36</v>
      </c>
      <c r="G182" s="68">
        <v>0</v>
      </c>
      <c r="H182" s="17">
        <f t="shared" si="38"/>
        <v>0</v>
      </c>
      <c r="I182" s="17">
        <v>0.1</v>
      </c>
      <c r="J182" s="17">
        <f t="shared" si="39"/>
        <v>3.6</v>
      </c>
      <c r="O182" s="66"/>
      <c r="W182" s="61"/>
      <c r="AE182" s="46"/>
      <c r="AF182" s="46"/>
    </row>
    <row r="183" spans="1:32" s="58" customFormat="1" ht="12.75">
      <c r="A183" s="57">
        <f t="shared" si="40"/>
        <v>386</v>
      </c>
      <c r="B183" s="4"/>
      <c r="C183" s="4" t="s">
        <v>194</v>
      </c>
      <c r="D183" s="4" t="s">
        <v>231</v>
      </c>
      <c r="E183" s="4" t="s">
        <v>255</v>
      </c>
      <c r="F183" s="17">
        <v>45</v>
      </c>
      <c r="G183" s="68">
        <v>0</v>
      </c>
      <c r="H183" s="17">
        <f t="shared" si="38"/>
        <v>0</v>
      </c>
      <c r="I183" s="17">
        <v>0.1</v>
      </c>
      <c r="J183" s="17">
        <f t="shared" si="39"/>
        <v>4.5</v>
      </c>
      <c r="O183" s="66"/>
      <c r="W183" s="61"/>
      <c r="AE183" s="46"/>
      <c r="AF183" s="46"/>
    </row>
    <row r="184" spans="1:32" s="58" customFormat="1" ht="12.75">
      <c r="A184" s="57">
        <f t="shared" si="40"/>
        <v>387</v>
      </c>
      <c r="B184" s="4"/>
      <c r="C184" s="4" t="s">
        <v>181</v>
      </c>
      <c r="D184" s="4" t="s">
        <v>214</v>
      </c>
      <c r="E184" s="4" t="s">
        <v>259</v>
      </c>
      <c r="F184" s="17">
        <f>F179*L184</f>
        <v>18.685714285714287</v>
      </c>
      <c r="G184" s="68">
        <v>0</v>
      </c>
      <c r="H184" s="17">
        <f t="shared" si="38"/>
        <v>0</v>
      </c>
      <c r="I184" s="17">
        <v>0</v>
      </c>
      <c r="J184" s="17">
        <f t="shared" si="39"/>
        <v>0</v>
      </c>
      <c r="L184" s="58">
        <v>0.5190476190476191</v>
      </c>
      <c r="M184" s="58" t="s">
        <v>329</v>
      </c>
      <c r="O184" s="66"/>
      <c r="W184" s="61"/>
      <c r="AE184" s="46" t="e">
        <f>#REF!*0.456545454545455</f>
        <v>#REF!</v>
      </c>
      <c r="AF184" s="46" t="e">
        <f>#REF!*(1-0.456545454545455)</f>
        <v>#REF!</v>
      </c>
    </row>
    <row r="185" spans="1:32" s="58" customFormat="1" ht="12.75">
      <c r="A185" s="57">
        <f t="shared" si="40"/>
        <v>388</v>
      </c>
      <c r="B185" s="4"/>
      <c r="C185" s="4" t="s">
        <v>182</v>
      </c>
      <c r="D185" s="4" t="s">
        <v>215</v>
      </c>
      <c r="E185" s="4" t="s">
        <v>259</v>
      </c>
      <c r="F185" s="17">
        <v>8.1</v>
      </c>
      <c r="G185" s="68">
        <v>0</v>
      </c>
      <c r="H185" s="17">
        <f t="shared" si="38"/>
        <v>0</v>
      </c>
      <c r="I185" s="17">
        <v>0</v>
      </c>
      <c r="J185" s="17">
        <f t="shared" si="39"/>
        <v>0</v>
      </c>
      <c r="O185" s="66"/>
      <c r="W185" s="61"/>
      <c r="AE185" s="46" t="e">
        <f>#REF!*0</f>
        <v>#REF!</v>
      </c>
      <c r="AF185" s="46" t="e">
        <f>#REF!*(1-0)</f>
        <v>#REF!</v>
      </c>
    </row>
    <row r="186" spans="1:32" ht="12.75">
      <c r="A186" s="41"/>
      <c r="B186" s="59" t="s">
        <v>361</v>
      </c>
      <c r="C186" s="41"/>
      <c r="D186" s="41" t="s">
        <v>407</v>
      </c>
      <c r="E186" s="41" t="s">
        <v>6</v>
      </c>
      <c r="F186" s="41" t="s">
        <v>6</v>
      </c>
      <c r="G186" s="62"/>
      <c r="H186" s="45">
        <f>SUM(H187:H202)</f>
        <v>0</v>
      </c>
      <c r="I186" s="42" t="s">
        <v>6</v>
      </c>
      <c r="J186" s="45">
        <f>SUM(J187:J202)</f>
        <v>151.05089999999998</v>
      </c>
      <c r="W186" s="67"/>
      <c r="X186" s="58"/>
      <c r="AE186" s="46">
        <f>G204*0.0185161290322581</f>
        <v>0</v>
      </c>
      <c r="AF186" s="46">
        <f>G204*(1-0.0185161290322581)</f>
        <v>0</v>
      </c>
    </row>
    <row r="187" spans="1:32" s="58" customFormat="1" ht="12.75">
      <c r="A187" s="57" t="s">
        <v>399</v>
      </c>
      <c r="B187" s="4"/>
      <c r="C187" s="57" t="s">
        <v>382</v>
      </c>
      <c r="D187" s="57" t="s">
        <v>383</v>
      </c>
      <c r="E187" s="4" t="s">
        <v>255</v>
      </c>
      <c r="F187" s="17">
        <v>93.5</v>
      </c>
      <c r="G187" s="68">
        <v>0</v>
      </c>
      <c r="H187" s="17">
        <f>F187*G187</f>
        <v>0</v>
      </c>
      <c r="I187" s="17">
        <v>0.37</v>
      </c>
      <c r="J187" s="17">
        <f>I187*F187</f>
        <v>34.595</v>
      </c>
      <c r="O187" s="66"/>
      <c r="W187" s="61"/>
      <c r="AE187" s="46">
        <f>G205*0</f>
        <v>0</v>
      </c>
      <c r="AF187" s="46">
        <f>G205*(1-0)</f>
        <v>0</v>
      </c>
    </row>
    <row r="188" spans="1:32" s="58" customFormat="1" ht="12.75">
      <c r="A188" s="57">
        <f aca="true" t="shared" si="41" ref="A188:A202">A187+1</f>
        <v>390</v>
      </c>
      <c r="B188" s="4"/>
      <c r="C188" s="4" t="s">
        <v>374</v>
      </c>
      <c r="D188" s="57" t="s">
        <v>384</v>
      </c>
      <c r="E188" s="57" t="s">
        <v>255</v>
      </c>
      <c r="F188" s="17">
        <v>93.5</v>
      </c>
      <c r="G188" s="68">
        <v>0</v>
      </c>
      <c r="H188" s="17">
        <f>F188*G188</f>
        <v>0</v>
      </c>
      <c r="I188" s="17">
        <v>0.14</v>
      </c>
      <c r="J188" s="17">
        <f>I188*F188</f>
        <v>13.090000000000002</v>
      </c>
      <c r="O188" s="66"/>
      <c r="W188" s="61"/>
      <c r="AE188" s="46"/>
      <c r="AF188" s="46"/>
    </row>
    <row r="189" spans="1:32" s="58" customFormat="1" ht="12.75">
      <c r="A189" s="57">
        <f t="shared" si="41"/>
        <v>391</v>
      </c>
      <c r="B189" s="4"/>
      <c r="C189" s="4" t="s">
        <v>172</v>
      </c>
      <c r="D189" s="4" t="s">
        <v>205</v>
      </c>
      <c r="E189" s="4" t="s">
        <v>256</v>
      </c>
      <c r="F189" s="17">
        <v>124</v>
      </c>
      <c r="G189" s="68">
        <v>0</v>
      </c>
      <c r="H189" s="17">
        <f>F189*G189</f>
        <v>0</v>
      </c>
      <c r="I189" s="17">
        <v>0.017</v>
      </c>
      <c r="J189" s="17">
        <f aca="true" t="shared" si="42" ref="J189:J202">I189*F189</f>
        <v>2.108</v>
      </c>
      <c r="O189" s="66"/>
      <c r="W189" s="61"/>
      <c r="AE189" s="46"/>
      <c r="AF189" s="46"/>
    </row>
    <row r="190" spans="1:32" s="58" customFormat="1" ht="12.75">
      <c r="A190" s="57">
        <f t="shared" si="41"/>
        <v>392</v>
      </c>
      <c r="B190" s="4"/>
      <c r="C190" s="4" t="s">
        <v>173</v>
      </c>
      <c r="D190" s="4" t="s">
        <v>206</v>
      </c>
      <c r="E190" s="4" t="s">
        <v>257</v>
      </c>
      <c r="F190" s="17">
        <v>17.77</v>
      </c>
      <c r="G190" s="68">
        <v>0</v>
      </c>
      <c r="H190" s="17">
        <f aca="true" t="shared" si="43" ref="H190:H201">F190*G190</f>
        <v>0</v>
      </c>
      <c r="I190" s="17">
        <v>1.6</v>
      </c>
      <c r="J190" s="17">
        <f t="shared" si="42"/>
        <v>28.432000000000002</v>
      </c>
      <c r="O190" s="66"/>
      <c r="W190" s="61"/>
      <c r="AE190" s="46"/>
      <c r="AF190" s="46"/>
    </row>
    <row r="191" spans="1:32" s="58" customFormat="1" ht="12.75">
      <c r="A191" s="57">
        <f t="shared" si="41"/>
        <v>393</v>
      </c>
      <c r="B191" s="4"/>
      <c r="C191" s="4" t="s">
        <v>332</v>
      </c>
      <c r="D191" s="4" t="s">
        <v>333</v>
      </c>
      <c r="E191" s="57" t="s">
        <v>255</v>
      </c>
      <c r="F191" s="17">
        <v>93.5</v>
      </c>
      <c r="G191" s="68">
        <v>0</v>
      </c>
      <c r="H191" s="17">
        <f t="shared" si="43"/>
        <v>0</v>
      </c>
      <c r="I191" s="17">
        <v>0</v>
      </c>
      <c r="J191" s="17">
        <f t="shared" si="42"/>
        <v>0</v>
      </c>
      <c r="O191" s="66"/>
      <c r="W191" s="61"/>
      <c r="AE191" s="46"/>
      <c r="AF191" s="46"/>
    </row>
    <row r="192" spans="1:32" s="58" customFormat="1" ht="12.75">
      <c r="A192" s="57">
        <f t="shared" si="41"/>
        <v>394</v>
      </c>
      <c r="B192" s="4"/>
      <c r="C192" s="4" t="s">
        <v>174</v>
      </c>
      <c r="D192" s="4" t="s">
        <v>225</v>
      </c>
      <c r="E192" s="4" t="s">
        <v>255</v>
      </c>
      <c r="F192" s="17">
        <v>93.5</v>
      </c>
      <c r="G192" s="68">
        <v>0</v>
      </c>
      <c r="H192" s="17">
        <f t="shared" si="43"/>
        <v>0</v>
      </c>
      <c r="I192" s="17">
        <v>0.27994</v>
      </c>
      <c r="J192" s="17">
        <f t="shared" si="42"/>
        <v>26.174390000000002</v>
      </c>
      <c r="O192" s="66"/>
      <c r="W192" s="61"/>
      <c r="AE192" s="46"/>
      <c r="AF192" s="46"/>
    </row>
    <row r="193" spans="1:32" s="58" customFormat="1" ht="12.75">
      <c r="A193" s="57">
        <f t="shared" si="41"/>
        <v>395</v>
      </c>
      <c r="B193" s="4"/>
      <c r="C193" s="4" t="s">
        <v>175</v>
      </c>
      <c r="D193" s="4" t="s">
        <v>208</v>
      </c>
      <c r="E193" s="4" t="s">
        <v>256</v>
      </c>
      <c r="F193" s="17">
        <v>124</v>
      </c>
      <c r="G193" s="68">
        <v>0</v>
      </c>
      <c r="H193" s="17">
        <f t="shared" si="43"/>
        <v>0</v>
      </c>
      <c r="I193" s="17">
        <v>0.14424</v>
      </c>
      <c r="J193" s="17">
        <f t="shared" si="42"/>
        <v>17.88576</v>
      </c>
      <c r="O193" s="66"/>
      <c r="W193" s="61"/>
      <c r="AE193" s="46"/>
      <c r="AF193" s="46"/>
    </row>
    <row r="194" spans="1:32" s="58" customFormat="1" ht="12.75">
      <c r="A194" s="57">
        <f t="shared" si="41"/>
        <v>396</v>
      </c>
      <c r="B194" s="5"/>
      <c r="C194" s="5" t="s">
        <v>176</v>
      </c>
      <c r="D194" s="5" t="s">
        <v>209</v>
      </c>
      <c r="E194" s="5" t="s">
        <v>258</v>
      </c>
      <c r="F194" s="18">
        <v>440</v>
      </c>
      <c r="G194" s="68">
        <v>0</v>
      </c>
      <c r="H194" s="17">
        <f t="shared" si="43"/>
        <v>0</v>
      </c>
      <c r="I194" s="18">
        <v>0.0052</v>
      </c>
      <c r="J194" s="17">
        <f t="shared" si="42"/>
        <v>2.288</v>
      </c>
      <c r="O194" s="66"/>
      <c r="W194" s="61"/>
      <c r="AE194" s="46"/>
      <c r="AF194" s="46"/>
    </row>
    <row r="195" spans="1:32" s="58" customFormat="1" ht="12.75">
      <c r="A195" s="57">
        <f t="shared" si="41"/>
        <v>397</v>
      </c>
      <c r="B195" s="5"/>
      <c r="C195" s="58" t="s">
        <v>337</v>
      </c>
      <c r="D195" s="65" t="s">
        <v>387</v>
      </c>
      <c r="E195" s="65" t="s">
        <v>255</v>
      </c>
      <c r="F195" s="61">
        <v>93.5</v>
      </c>
      <c r="G195" s="68">
        <v>0</v>
      </c>
      <c r="H195" s="17">
        <f t="shared" si="43"/>
        <v>0</v>
      </c>
      <c r="I195" s="17">
        <v>0.0019</v>
      </c>
      <c r="J195" s="17">
        <f t="shared" si="42"/>
        <v>0.17765</v>
      </c>
      <c r="O195" s="66"/>
      <c r="W195" s="61"/>
      <c r="AE195" s="46"/>
      <c r="AF195" s="46"/>
    </row>
    <row r="196" spans="1:32" s="58" customFormat="1" ht="12.75">
      <c r="A196" s="57">
        <f t="shared" si="41"/>
        <v>398</v>
      </c>
      <c r="B196" s="4"/>
      <c r="C196" s="4" t="s">
        <v>178</v>
      </c>
      <c r="D196" s="4" t="s">
        <v>211</v>
      </c>
      <c r="E196" s="4" t="s">
        <v>257</v>
      </c>
      <c r="F196" s="17">
        <v>8</v>
      </c>
      <c r="G196" s="68">
        <v>0</v>
      </c>
      <c r="H196" s="17">
        <f t="shared" si="43"/>
        <v>0</v>
      </c>
      <c r="I196" s="17">
        <v>2.545</v>
      </c>
      <c r="J196" s="17">
        <f t="shared" si="42"/>
        <v>20.36</v>
      </c>
      <c r="O196" s="66"/>
      <c r="W196" s="61"/>
      <c r="AE196" s="46"/>
      <c r="AF196" s="46"/>
    </row>
    <row r="197" spans="1:32" s="58" customFormat="1" ht="12.75">
      <c r="A197" s="57">
        <f t="shared" si="41"/>
        <v>399</v>
      </c>
      <c r="B197" s="4"/>
      <c r="C197" s="4" t="s">
        <v>178</v>
      </c>
      <c r="D197" s="4" t="s">
        <v>220</v>
      </c>
      <c r="E197" s="4" t="s">
        <v>257</v>
      </c>
      <c r="F197" s="17">
        <v>2.03</v>
      </c>
      <c r="G197" s="68">
        <v>0</v>
      </c>
      <c r="H197" s="17">
        <f t="shared" si="43"/>
        <v>0</v>
      </c>
      <c r="I197" s="17">
        <v>2.545</v>
      </c>
      <c r="J197" s="17">
        <f t="shared" si="42"/>
        <v>5.1663499999999996</v>
      </c>
      <c r="O197" s="66"/>
      <c r="W197" s="61"/>
      <c r="AE197" s="46"/>
      <c r="AF197" s="46"/>
    </row>
    <row r="198" spans="1:32" s="58" customFormat="1" ht="12.75">
      <c r="A198" s="57">
        <f t="shared" si="41"/>
        <v>400</v>
      </c>
      <c r="B198" s="4"/>
      <c r="C198" s="4" t="s">
        <v>177</v>
      </c>
      <c r="D198" s="4" t="s">
        <v>210</v>
      </c>
      <c r="E198" s="4" t="s">
        <v>259</v>
      </c>
      <c r="F198" s="17">
        <v>0.52</v>
      </c>
      <c r="G198" s="68">
        <v>0</v>
      </c>
      <c r="H198" s="17">
        <f t="shared" si="43"/>
        <v>0</v>
      </c>
      <c r="I198" s="17">
        <v>1.06625</v>
      </c>
      <c r="J198" s="17">
        <f t="shared" si="42"/>
        <v>0.55445</v>
      </c>
      <c r="O198" s="66"/>
      <c r="W198" s="61"/>
      <c r="AE198" s="46">
        <f>G206*0</f>
        <v>0</v>
      </c>
      <c r="AF198" s="46">
        <f>G206*(1-0)</f>
        <v>0</v>
      </c>
    </row>
    <row r="199" spans="1:32" s="58" customFormat="1" ht="12.75">
      <c r="A199" s="57">
        <f t="shared" si="41"/>
        <v>401</v>
      </c>
      <c r="B199" s="4"/>
      <c r="C199" s="4" t="s">
        <v>179</v>
      </c>
      <c r="D199" s="4" t="s">
        <v>362</v>
      </c>
      <c r="E199" s="4" t="s">
        <v>257</v>
      </c>
      <c r="F199" s="17">
        <v>10.03</v>
      </c>
      <c r="G199" s="68">
        <v>0</v>
      </c>
      <c r="H199" s="17">
        <f t="shared" si="43"/>
        <v>0</v>
      </c>
      <c r="I199" s="17">
        <v>0.02</v>
      </c>
      <c r="J199" s="17">
        <f t="shared" si="42"/>
        <v>0.2006</v>
      </c>
      <c r="O199" s="66"/>
      <c r="W199" s="61"/>
      <c r="AE199" s="46">
        <f>G207*0.810693641618497</f>
        <v>0</v>
      </c>
      <c r="AF199" s="46">
        <f>G207*(1-0.810693641618497)</f>
        <v>0</v>
      </c>
    </row>
    <row r="200" spans="1:32" s="58" customFormat="1" ht="12.75">
      <c r="A200" s="57">
        <f t="shared" si="41"/>
        <v>402</v>
      </c>
      <c r="B200" s="4"/>
      <c r="C200" s="4" t="s">
        <v>180</v>
      </c>
      <c r="D200" s="4" t="s">
        <v>213</v>
      </c>
      <c r="E200" s="4" t="s">
        <v>255</v>
      </c>
      <c r="F200" s="17">
        <v>93.5</v>
      </c>
      <c r="G200" s="68">
        <v>0</v>
      </c>
      <c r="H200" s="17">
        <f t="shared" si="43"/>
        <v>0</v>
      </c>
      <c r="I200" s="17">
        <v>0.0002</v>
      </c>
      <c r="J200" s="17">
        <f t="shared" si="42"/>
        <v>0.0187</v>
      </c>
      <c r="O200" s="66"/>
      <c r="W200" s="61"/>
      <c r="AE200" s="46">
        <f>G208*0.637759103641456</f>
        <v>0</v>
      </c>
      <c r="AF200" s="46">
        <f>G208*(1-0.637759103641456)</f>
        <v>0</v>
      </c>
    </row>
    <row r="201" spans="1:32" s="58" customFormat="1" ht="12.75">
      <c r="A201" s="57">
        <f t="shared" si="41"/>
        <v>403</v>
      </c>
      <c r="B201" s="4"/>
      <c r="C201" s="4" t="s">
        <v>181</v>
      </c>
      <c r="D201" s="4" t="s">
        <v>214</v>
      </c>
      <c r="E201" s="4" t="s">
        <v>259</v>
      </c>
      <c r="F201" s="17">
        <f>F187*L201</f>
        <v>48.530952380952385</v>
      </c>
      <c r="G201" s="68">
        <v>0</v>
      </c>
      <c r="H201" s="17">
        <f t="shared" si="43"/>
        <v>0</v>
      </c>
      <c r="I201" s="17">
        <v>0</v>
      </c>
      <c r="J201" s="17">
        <f t="shared" si="42"/>
        <v>0</v>
      </c>
      <c r="L201" s="58">
        <v>0.5190476190476191</v>
      </c>
      <c r="M201" s="58" t="s">
        <v>329</v>
      </c>
      <c r="O201" s="66"/>
      <c r="W201" s="61"/>
      <c r="AE201" s="47">
        <f>G209*1</f>
        <v>0</v>
      </c>
      <c r="AF201" s="47">
        <f>G209*(1-1)</f>
        <v>0</v>
      </c>
    </row>
    <row r="202" spans="1:32" s="58" customFormat="1" ht="12.75">
      <c r="A202" s="57">
        <f t="shared" si="41"/>
        <v>404</v>
      </c>
      <c r="B202" s="4"/>
      <c r="C202" s="4" t="s">
        <v>182</v>
      </c>
      <c r="D202" s="4" t="s">
        <v>215</v>
      </c>
      <c r="E202" s="4" t="s">
        <v>259</v>
      </c>
      <c r="F202" s="17">
        <v>101.26</v>
      </c>
      <c r="G202" s="68">
        <v>0</v>
      </c>
      <c r="H202" s="17">
        <f>F202*G202</f>
        <v>0</v>
      </c>
      <c r="I202" s="17">
        <v>0</v>
      </c>
      <c r="J202" s="17">
        <f t="shared" si="42"/>
        <v>0</v>
      </c>
      <c r="O202" s="66"/>
      <c r="W202" s="61"/>
      <c r="AE202" s="46" t="e">
        <f>#REF!*0</f>
        <v>#REF!</v>
      </c>
      <c r="AF202" s="46" t="e">
        <f>#REF!*(1-0)</f>
        <v>#REF!</v>
      </c>
    </row>
    <row r="203" spans="1:32" ht="12.75">
      <c r="A203" s="41"/>
      <c r="B203" s="59" t="s">
        <v>363</v>
      </c>
      <c r="C203" s="41"/>
      <c r="D203" s="59" t="s">
        <v>364</v>
      </c>
      <c r="E203" s="41" t="s">
        <v>6</v>
      </c>
      <c r="F203" s="41" t="s">
        <v>6</v>
      </c>
      <c r="G203" s="62"/>
      <c r="H203" s="45">
        <f>SUM(H204:H209)</f>
        <v>0</v>
      </c>
      <c r="I203" s="42" t="s">
        <v>6</v>
      </c>
      <c r="J203" s="45">
        <f>SUM(J204:J209)</f>
        <v>21.204</v>
      </c>
      <c r="W203" s="67"/>
      <c r="X203" s="58"/>
      <c r="AE203" s="46" t="e">
        <f>#REF!*0.0185161290322581</f>
        <v>#REF!</v>
      </c>
      <c r="AF203" s="46" t="e">
        <f>#REF!*(1-0.0185161290322581)</f>
        <v>#REF!</v>
      </c>
    </row>
    <row r="204" spans="1:32" ht="12.75">
      <c r="A204" s="57" t="s">
        <v>400</v>
      </c>
      <c r="B204" s="4"/>
      <c r="C204" s="4" t="s">
        <v>171</v>
      </c>
      <c r="D204" s="4" t="s">
        <v>224</v>
      </c>
      <c r="E204" s="4" t="s">
        <v>255</v>
      </c>
      <c r="F204" s="17">
        <v>25</v>
      </c>
      <c r="G204" s="68">
        <v>0</v>
      </c>
      <c r="H204" s="17">
        <f aca="true" t="shared" si="44" ref="H204:H209">F204*G204</f>
        <v>0</v>
      </c>
      <c r="I204" s="17">
        <v>0.52</v>
      </c>
      <c r="J204" s="17">
        <f aca="true" t="shared" si="45" ref="J204:J209">I204*F204</f>
        <v>13</v>
      </c>
      <c r="W204" s="61"/>
      <c r="X204" s="58"/>
      <c r="AE204" s="46" t="e">
        <f>#REF!*0</f>
        <v>#REF!</v>
      </c>
      <c r="AF204" s="46" t="e">
        <f>#REF!*(1-0)</f>
        <v>#REF!</v>
      </c>
    </row>
    <row r="205" spans="1:32" ht="12.75">
      <c r="A205" s="57">
        <f>A204+1</f>
        <v>406</v>
      </c>
      <c r="B205" s="4"/>
      <c r="C205" s="4" t="s">
        <v>172</v>
      </c>
      <c r="D205" s="4" t="s">
        <v>205</v>
      </c>
      <c r="E205" s="4" t="s">
        <v>256</v>
      </c>
      <c r="F205" s="17">
        <v>62</v>
      </c>
      <c r="G205" s="68">
        <v>0</v>
      </c>
      <c r="H205" s="17">
        <f t="shared" si="44"/>
        <v>0</v>
      </c>
      <c r="I205" s="17">
        <v>0.017</v>
      </c>
      <c r="J205" s="17">
        <f t="shared" si="45"/>
        <v>1.054</v>
      </c>
      <c r="W205" s="61"/>
      <c r="X205" s="58"/>
      <c r="AE205" s="46" t="e">
        <f>#REF!*0</f>
        <v>#REF!</v>
      </c>
      <c r="AF205" s="46" t="e">
        <f>#REF!*(1-0)</f>
        <v>#REF!</v>
      </c>
    </row>
    <row r="206" spans="1:32" ht="12.75">
      <c r="A206" s="57">
        <f>A205+1</f>
        <v>407</v>
      </c>
      <c r="B206" s="4"/>
      <c r="C206" s="4" t="s">
        <v>196</v>
      </c>
      <c r="D206" s="4" t="s">
        <v>237</v>
      </c>
      <c r="E206" s="4" t="s">
        <v>255</v>
      </c>
      <c r="F206" s="17">
        <v>25</v>
      </c>
      <c r="G206" s="68">
        <v>0</v>
      </c>
      <c r="H206" s="17">
        <f t="shared" si="44"/>
        <v>0</v>
      </c>
      <c r="I206" s="17">
        <v>0.1</v>
      </c>
      <c r="J206" s="17">
        <f t="shared" si="45"/>
        <v>2.5</v>
      </c>
      <c r="W206" s="61"/>
      <c r="X206" s="58"/>
      <c r="AE206" s="46" t="e">
        <f>#REF!*0.810693641618497</f>
        <v>#REF!</v>
      </c>
      <c r="AF206" s="46" t="e">
        <f>#REF!*(1-0.810693641618497)</f>
        <v>#REF!</v>
      </c>
    </row>
    <row r="207" spans="1:32" ht="12.75">
      <c r="A207" s="57">
        <f>A206+1</f>
        <v>408</v>
      </c>
      <c r="B207" s="4"/>
      <c r="C207" s="4" t="s">
        <v>194</v>
      </c>
      <c r="D207" s="4" t="s">
        <v>231</v>
      </c>
      <c r="E207" s="4" t="s">
        <v>255</v>
      </c>
      <c r="F207" s="17">
        <v>46.5</v>
      </c>
      <c r="G207" s="68">
        <v>0</v>
      </c>
      <c r="H207" s="17">
        <f t="shared" si="44"/>
        <v>0</v>
      </c>
      <c r="I207" s="17">
        <v>0.1</v>
      </c>
      <c r="J207" s="17">
        <f t="shared" si="45"/>
        <v>4.65</v>
      </c>
      <c r="W207" s="61"/>
      <c r="X207" s="58"/>
      <c r="AE207" s="46" t="e">
        <f>#REF!*0.637759103641456</f>
        <v>#REF!</v>
      </c>
      <c r="AF207" s="46" t="e">
        <f>#REF!*(1-0.637759103641456)</f>
        <v>#REF!</v>
      </c>
    </row>
    <row r="208" spans="1:32" ht="12.75">
      <c r="A208" s="57">
        <f>A207+1</f>
        <v>409</v>
      </c>
      <c r="B208" s="4"/>
      <c r="C208" s="4" t="s">
        <v>181</v>
      </c>
      <c r="D208" s="4" t="s">
        <v>214</v>
      </c>
      <c r="E208" s="4" t="s">
        <v>260</v>
      </c>
      <c r="F208" s="17">
        <f>F195*L208</f>
        <v>48.530952380952385</v>
      </c>
      <c r="G208" s="68">
        <v>0</v>
      </c>
      <c r="H208" s="17">
        <f t="shared" si="44"/>
        <v>0</v>
      </c>
      <c r="I208" s="17">
        <v>0</v>
      </c>
      <c r="J208" s="17">
        <f t="shared" si="45"/>
        <v>0</v>
      </c>
      <c r="L208">
        <v>0.5190476190476191</v>
      </c>
      <c r="M208" t="s">
        <v>329</v>
      </c>
      <c r="W208" s="61"/>
      <c r="X208" s="58"/>
      <c r="AE208" s="47" t="e">
        <f>#REF!*1</f>
        <v>#REF!</v>
      </c>
      <c r="AF208" s="47" t="e">
        <f>#REF!*(1-1)</f>
        <v>#REF!</v>
      </c>
    </row>
    <row r="209" spans="1:32" ht="12.75">
      <c r="A209" s="57">
        <f>A208+1</f>
        <v>410</v>
      </c>
      <c r="B209" s="5"/>
      <c r="C209" s="4" t="s">
        <v>182</v>
      </c>
      <c r="D209" s="4" t="s">
        <v>215</v>
      </c>
      <c r="E209" s="4" t="s">
        <v>259</v>
      </c>
      <c r="F209" s="17">
        <v>7.15</v>
      </c>
      <c r="G209" s="68">
        <v>0</v>
      </c>
      <c r="H209" s="17">
        <f t="shared" si="44"/>
        <v>0</v>
      </c>
      <c r="I209" s="17">
        <v>0</v>
      </c>
      <c r="J209" s="17">
        <f t="shared" si="45"/>
        <v>0</v>
      </c>
      <c r="W209" s="61"/>
      <c r="X209" s="58"/>
      <c r="AE209" s="46" t="e">
        <f>#REF!*0</f>
        <v>#REF!</v>
      </c>
      <c r="AF209" s="46" t="e">
        <f>#REF!*(1-0)</f>
        <v>#REF!</v>
      </c>
    </row>
    <row r="210" spans="1:32" ht="12.75">
      <c r="A210" s="41"/>
      <c r="B210" s="59" t="s">
        <v>324</v>
      </c>
      <c r="C210" s="41"/>
      <c r="D210" s="59" t="s">
        <v>389</v>
      </c>
      <c r="E210" s="41" t="s">
        <v>6</v>
      </c>
      <c r="F210" s="41" t="s">
        <v>6</v>
      </c>
      <c r="G210" s="62" t="s">
        <v>6</v>
      </c>
      <c r="H210" s="45">
        <f>SUM(H211:H212)</f>
        <v>0</v>
      </c>
      <c r="I210" s="42" t="s">
        <v>6</v>
      </c>
      <c r="J210" s="45">
        <f>SUM(J211:J217)</f>
        <v>0</v>
      </c>
      <c r="AE210" s="46"/>
      <c r="AF210" s="46"/>
    </row>
    <row r="211" spans="1:32" ht="12.75">
      <c r="A211" s="57" t="s">
        <v>401</v>
      </c>
      <c r="B211" s="5"/>
      <c r="C211" s="4"/>
      <c r="D211" s="57" t="s">
        <v>388</v>
      </c>
      <c r="E211" s="57" t="s">
        <v>391</v>
      </c>
      <c r="F211" s="17">
        <v>1</v>
      </c>
      <c r="G211" s="68">
        <v>0</v>
      </c>
      <c r="H211" s="17">
        <f>F211*G211</f>
        <v>0</v>
      </c>
      <c r="I211" s="17"/>
      <c r="J211" s="17"/>
      <c r="AE211" s="46"/>
      <c r="AF211" s="46"/>
    </row>
    <row r="212" spans="1:32" ht="12.75">
      <c r="A212" s="57" t="s">
        <v>402</v>
      </c>
      <c r="B212" s="5"/>
      <c r="C212" s="4"/>
      <c r="D212" s="57" t="s">
        <v>390</v>
      </c>
      <c r="E212" s="57" t="s">
        <v>391</v>
      </c>
      <c r="F212" s="17">
        <v>1</v>
      </c>
      <c r="G212" s="68">
        <v>0</v>
      </c>
      <c r="H212" s="17">
        <f>F212*G212</f>
        <v>0</v>
      </c>
      <c r="I212" s="17"/>
      <c r="J212" s="17"/>
      <c r="AE212" s="46"/>
      <c r="AF212" s="46"/>
    </row>
    <row r="213" ht="4.5" customHeight="1"/>
    <row r="214" spans="7:8" ht="12.75">
      <c r="G214" s="43" t="s">
        <v>328</v>
      </c>
      <c r="H214" s="39">
        <f>SUM(H14:H22,H24:H35,H37:H52,H54:H66,H68:H80,H82:H94,H96:H108,H110:H122,H124:H136,H138:H149,H151:H162,H164:H169,H171:H177,H179:H185,H187:H202,H204:H209,H211:H212)</f>
        <v>0</v>
      </c>
    </row>
    <row r="215" spans="7:8" ht="12.75">
      <c r="G215" s="56" t="s">
        <v>408</v>
      </c>
      <c r="H215" s="71">
        <v>0</v>
      </c>
    </row>
    <row r="216" spans="7:8" ht="12.75">
      <c r="G216" s="56"/>
      <c r="H216" s="70"/>
    </row>
    <row r="217" ht="12.75">
      <c r="H217" s="60"/>
    </row>
    <row r="222" ht="12.75">
      <c r="H222" s="69"/>
    </row>
    <row r="224" ht="12.75">
      <c r="H224" s="60"/>
    </row>
  </sheetData>
  <sheetProtection password="DE3A" sheet="1"/>
  <protectedRanges>
    <protectedRange sqref="G14:G22 G24:G35 G37:G52 G54:G66 G68:G80 G82:G94 G96:G108 G110:G122 G124:G136 G138:G149 G151:G162 G164:G169 G171:G177 G179:G185 G187:G202 G204:G209 G211:G212 H215" name="Oblast1"/>
  </protectedRanges>
  <mergeCells count="36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I10:I11"/>
    <mergeCell ref="A8:B9"/>
    <mergeCell ref="C8:D9"/>
    <mergeCell ref="E8:E9"/>
    <mergeCell ref="F8:G9"/>
    <mergeCell ref="H8:H9"/>
    <mergeCell ref="I8:I9"/>
    <mergeCell ref="J2:J3"/>
    <mergeCell ref="J4:J5"/>
    <mergeCell ref="J6:J7"/>
    <mergeCell ref="J8:J9"/>
    <mergeCell ref="J10:J11"/>
    <mergeCell ref="A10:B11"/>
    <mergeCell ref="C10:D11"/>
    <mergeCell ref="E10:E11"/>
    <mergeCell ref="F10:G11"/>
    <mergeCell ref="H10:H11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Michalík Igor</dc:creator>
  <cp:keywords/>
  <dc:description/>
  <cp:lastModifiedBy>Sedlářová Darina</cp:lastModifiedBy>
  <cp:lastPrinted>2016-06-05T13:25:24Z</cp:lastPrinted>
  <dcterms:created xsi:type="dcterms:W3CDTF">2016-06-04T09:07:13Z</dcterms:created>
  <dcterms:modified xsi:type="dcterms:W3CDTF">2016-09-30T10:42:27Z</dcterms:modified>
  <cp:category/>
  <cp:version/>
  <cp:contentType/>
  <cp:contentStatus/>
</cp:coreProperties>
</file>